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5506" windowWidth="15135" windowHeight="8445" firstSheet="1" activeTab="1"/>
  </bookViews>
  <sheets>
    <sheet name="Εξώφυλλο" sheetId="1" r:id="rId1"/>
    <sheet name="εσοδα" sheetId="2" r:id="rId2"/>
    <sheet name="εξοδα" sheetId="3" r:id="rId3"/>
    <sheet name="Γενική Ανακεφαλαίωση" sheetId="4" r:id="rId4"/>
    <sheet name="Εισηγητική Έκθεση" sheetId="5" r:id="rId5"/>
    <sheet name="0711-0721" sheetId="6" r:id="rId6"/>
    <sheet name="832" sheetId="7" r:id="rId7"/>
    <sheet name="ΔΕΔΟΜΕΝΑ" sheetId="8" r:id="rId8"/>
    <sheet name="ΠΑΡΑΜΕΤΡΟΙ" sheetId="9" r:id="rId9"/>
    <sheet name="ΣΥΝΟΛΑ" sheetId="10" r:id="rId10"/>
    <sheet name="Φύλλο1" sheetId="11" r:id="rId11"/>
  </sheets>
  <externalReferences>
    <externalReference r:id="rId14"/>
    <externalReference r:id="rId15"/>
  </externalReferences>
  <definedNames>
    <definedName name="_xlnm.Print_Area" localSheetId="5">'0711-0721'!$A$1:$H$25</definedName>
    <definedName name="_xlnm.Print_Titles" localSheetId="2">'εξοδα'!$5:$7</definedName>
    <definedName name="_xlnm.Print_Titles" localSheetId="1">'εσοδα'!$5:$7</definedName>
  </definedNames>
  <calcPr fullCalcOnLoad="1"/>
</workbook>
</file>

<file path=xl/comments2.xml><?xml version="1.0" encoding="utf-8"?>
<comments xmlns="http://schemas.openxmlformats.org/spreadsheetml/2006/main">
  <authors>
    <author>**</author>
  </authors>
  <commentList>
    <comment ref="H1" authorId="0">
      <text>
        <r>
          <rPr>
            <b/>
            <sz val="8"/>
            <rFont val="Tahoma"/>
            <family val="2"/>
          </rPr>
          <t>Το χρώμα μπλε είναι ο πρωτοβάθμιος κωδικός. Το χρώμα Κόκκινο είναι ο δευτεροβάθμιος κωδικός. Το πράσινο είναι ο τριτοβάθμιος και το άσπρο ο τεταρτοβάθμιος
ΠΡΟΣΟΧΗ: Θα ενημερώνετε μόνο τον τεταρτοβάθμιο κωδικό!!! (Δηλ. το άσπρο χρώμα)</t>
        </r>
      </text>
    </comment>
  </commentList>
</comments>
</file>

<file path=xl/comments3.xml><?xml version="1.0" encoding="utf-8"?>
<comments xmlns="http://schemas.openxmlformats.org/spreadsheetml/2006/main">
  <authors>
    <author>**</author>
    <author>halvatzis</author>
  </authors>
  <commentList>
    <comment ref="H1" authorId="0">
      <text>
        <r>
          <rPr>
            <b/>
            <sz val="8"/>
            <rFont val="Tahoma"/>
            <family val="2"/>
          </rPr>
          <t>Το χρώμα μπλε είναι ο πρωτοβάθμιος κωδικός. Το χρώμα Κόκκινο είναι ο δευτεροβάθμιος κωδικός. Το πράσινο είναι ο τριτοβάθμιος, το κίτρινο χρώμα ο τεταρτοβάθμιος  και το άσπρο ο πεμπτοβάθμιος
ΠΡΟΣΟΧΗ: Θα ενημερώνετε μόνο τον πεμπτοβάθμιο κωδικό!!! (Δηλ. το άσπρο χρώμα)</t>
        </r>
      </text>
    </comment>
    <comment ref="F4" authorId="1">
      <text>
        <r>
          <rPr>
            <b/>
            <sz val="8"/>
            <rFont val="Tahoma"/>
            <family val="2"/>
          </rPr>
          <t>Το χρώμα μπλε είναι ο πρωτοβάθμιος κωδικός. Το χρώμα Κόκκινο είναι ο δευτεροβάθμιος κωδικός. Το πράσινο είναι ο τριτοβάθμιος, το κίτρινο χρώμα ο τεταρτοβάθμιος  και το άσπρο ο πεμπτοβάθμιος
ΠΡΟΣΟΧΗ: Θα ενημερώνετε μόνο τον πεμπτοβάθμιο κωδικό!!! (Δηλ. το άσπρο χρώμα)</t>
        </r>
      </text>
    </comment>
  </commentList>
</comments>
</file>

<file path=xl/sharedStrings.xml><?xml version="1.0" encoding="utf-8"?>
<sst xmlns="http://schemas.openxmlformats.org/spreadsheetml/2006/main" count="1090" uniqueCount="789">
  <si>
    <t>Απόδοση στο Μ.Τ.Π.Υ. των εισπράξεων που έγιναν γι’ αυτό</t>
  </si>
  <si>
    <t xml:space="preserve"> </t>
  </si>
  <si>
    <t>Απόδοση των εισπράξεων που έγιναν για λογαριασμό του Δημοσίου</t>
  </si>
  <si>
    <t>Απόδοση των εισπράξεων που έγιναν για λογαριασμό λοιπών Ν.Π.Δ.Δ. και Αποκεντρωμένων Δημ. Υπηρεσιών</t>
  </si>
  <si>
    <t>Προμήθεια επίπλων</t>
  </si>
  <si>
    <t>Προμήθεια ηλεκτρικών συσκευών και μηχανημάτων κλιματισμού γραφείων</t>
  </si>
  <si>
    <t>Προμήθεια ηλεκτρονικών υπολογιστών και βοηθητικών μηχανών</t>
  </si>
  <si>
    <t>Προμήθεια ηλεκτρον. υπολογιστών και βοηθητικών μηχανών</t>
  </si>
  <si>
    <t>7124</t>
  </si>
  <si>
    <t>Προμήθεια φωτοτυπικών μηχανημάτων</t>
  </si>
  <si>
    <t>7127</t>
  </si>
  <si>
    <t>Προμήθεια μηχανημάτων εκτός από μηχανές γραφείου</t>
  </si>
  <si>
    <t>ΠΛΗΡΩΜΕΣ ΓΙΑ ΕΠΕΝΔΥΣΕΙΣ</t>
  </si>
  <si>
    <t xml:space="preserve"> για προμήθεια υλικών που θα χρησιμοποιηθούν για την επισκευή των αυτοκινήτων τουΚέντρου.</t>
  </si>
  <si>
    <t xml:space="preserve">                                                                              ΣΥΝΟΛΟ ΕΞΟΔΩΝ :</t>
  </si>
  <si>
    <t>ΥΠΟΛΟΙΠΟ</t>
  </si>
  <si>
    <r>
      <t>Β)</t>
    </r>
    <r>
      <rPr>
        <sz val="10"/>
        <rFont val="Times New Roman"/>
        <family val="1"/>
      </rPr>
      <t xml:space="preserve">            1.</t>
    </r>
  </si>
  <si>
    <r>
      <t>Στον ΚΑ. 0541 Δαπάνες επιμόρφωσης υπαλλήλων Ν.Π.Δ.Δ</t>
    </r>
    <r>
      <rPr>
        <sz val="10"/>
        <rFont val="Times New Roman"/>
        <family val="1"/>
      </rPr>
      <t>.</t>
    </r>
  </si>
  <si>
    <t>Προμήθεια υγραερίων – φωταερίων</t>
  </si>
  <si>
    <t>933</t>
  </si>
  <si>
    <t>Ανέγερση κτιρίων και κάθε είδους εγκαταστάσεις σ΄αυτά</t>
  </si>
  <si>
    <t>9333</t>
  </si>
  <si>
    <t>Ανέγερση κτιρίων υγειον.ιδρυμ. &amp; κοιν.γενικά υπηρ. &amp; κάθε είδους εγκ.</t>
  </si>
  <si>
    <t>Προμήθεια μηχανικού &amp; λοιπού κεφαλαιουχικού εξοπλισμού</t>
  </si>
  <si>
    <t>ΕΣΟΔΑ</t>
  </si>
  <si>
    <t>ΕΞΟΔΑ</t>
  </si>
  <si>
    <t>Δαπάνες διοίκησης και λειτουργίας</t>
  </si>
  <si>
    <t>54</t>
  </si>
  <si>
    <t>ΕΣΟΔΑ ΑΠΟ ΔΩΡΕΕΣ ΚΛΗΡΟΝΟΜΙΕΣ ΚΑΙ ΚΛΗΡΟΔΟΣΙΕΣ</t>
  </si>
  <si>
    <t>541</t>
  </si>
  <si>
    <t>Έσοδα από δωρεές, κληρονομιές, κληροδοσίες.</t>
  </si>
  <si>
    <t>5411</t>
  </si>
  <si>
    <t>Προϊόν Δωρεάς</t>
  </si>
  <si>
    <t>5412</t>
  </si>
  <si>
    <t>Προϊόν κληρονομιάς - κληροδωσίας</t>
  </si>
  <si>
    <t>56</t>
  </si>
  <si>
    <t>ΕΣΟΔΑ ΑΠΌ ΛΟΙΠΕΣ ΠΕΡΙΠΤΩΣΕΙΣ</t>
  </si>
  <si>
    <t>Διάφορα έσοδα</t>
  </si>
  <si>
    <t>Έσοδα από προσφορά υπηρεσιών.</t>
  </si>
  <si>
    <t>ΑΝΑΚΕΦΑΛΑΙΩΣΗ ΕΞΟΔΩΝ</t>
  </si>
  <si>
    <t>ΚΑΤΗΓΟΡΙΑ Ι (0,1,2,3)</t>
  </si>
  <si>
    <t>ΚΑΤΗΓΟΡΙΑ IV (9)</t>
  </si>
  <si>
    <t>ΣΥΝΟΛΑ</t>
  </si>
  <si>
    <t>ΓΕΝΙΚΟ ΣΥΝΟΛΟ ΕΞΟΔΩΝ</t>
  </si>
  <si>
    <t>0</t>
  </si>
  <si>
    <t>ΕΠΙΧΟΡΗΓΗΣΕΙΣ</t>
  </si>
  <si>
    <t>ΕΠΙΧΟΡΗΓΗΣΕΙΣ ΑΠΌ ΤΟΝ ΤΑΚΤΙΚΟ ΚΡΑΤΙΚΟ  ΠΡΟΫΠ / ΣΜΟ</t>
  </si>
  <si>
    <t>011</t>
  </si>
  <si>
    <t>Επιχορηγήσεις για δαπάνες διοίκησης και λειτουργίας</t>
  </si>
  <si>
    <t>0111</t>
  </si>
  <si>
    <t>0112</t>
  </si>
  <si>
    <t>Επιχορηγήσεις δια δαπάνες λειτουργίας</t>
  </si>
  <si>
    <t>1292.01</t>
  </si>
  <si>
    <t>ΤΑ ΜΕΛΗ</t>
  </si>
  <si>
    <t>Έσοδα από προσφ. υγειον. υπηρ. προερχ. από πληρ. κοινων. ασφ.</t>
  </si>
  <si>
    <t>9</t>
  </si>
  <si>
    <t>ΕΣΟΔΑ ΑΠΌ ΕΠΙΧΟΡΗΓΗΣΕΙΣ  ΚΑΙ ΛΟΙΠΑ ΓΙΑ ΕΠΕΝΔΥΣΕΙΣ.</t>
  </si>
  <si>
    <t>ΕΠΙΧ. ΑΠ΄ΤΟΝ ΠΡΟΫΠ.  ΔΗΜ. ΕΠΕΝΔΥΣΕΩΝ ΓΙΑ ΕΠΕΝΔΥΣΕΙΣ</t>
  </si>
  <si>
    <t>Επιχ. γι'ανέγ. κτιρίων καθώς και για κάθε είδους εγκατ. σ ΄αυτά.</t>
  </si>
  <si>
    <t>Επιχ. γι'ανέγ. κτιρίων υγ. ιδρ.καθώς &amp; για κάθε είδους εγκατ. σ ΄αυτά.</t>
  </si>
  <si>
    <t>1</t>
  </si>
  <si>
    <t>ΦΟΡΟΙ ΤΕΛΗ ΔΙΚΑΙΩΜΑΤΑ ΥΠΕΡ ΝΠΔΔ</t>
  </si>
  <si>
    <t>ΦΟΡΟΙ</t>
  </si>
  <si>
    <t>119</t>
  </si>
  <si>
    <t>Εσοδα από Λοιπούς κοινωνικούς πόρους</t>
  </si>
  <si>
    <t>1191</t>
  </si>
  <si>
    <t>Εσοδα από κρατικά λαχεία</t>
  </si>
  <si>
    <t>2</t>
  </si>
  <si>
    <t>ΑΣΦΑΛΙΣΤΙΚΕΣ ΕΙΣΦΟΡΕΣ</t>
  </si>
  <si>
    <t>21</t>
  </si>
  <si>
    <t>ΕΙΣΦΟΡΕΣ ΕΡΓΟΔΟΤΗ ΚΑΙ ΑΣΦΑΛΙΣΜΕΝΟΥ</t>
  </si>
  <si>
    <t>212</t>
  </si>
  <si>
    <t>Καταβολές ασφαλισμένων</t>
  </si>
  <si>
    <t>2122</t>
  </si>
  <si>
    <t>Καταβολές για εφ'άπαξ αποζ/ση λόγω εξόδου από την υπηρεσία</t>
  </si>
  <si>
    <t>3</t>
  </si>
  <si>
    <t>ΕΣΟΔΑ ΑΠΟ ΠΡΟΣΦΟΡΑ ΥΠΗΡΕΣΙΩΝ</t>
  </si>
  <si>
    <t>3113</t>
  </si>
  <si>
    <t>Οικογενειακή παροχή</t>
  </si>
  <si>
    <t>Ειδικά τακτικά επιδόματα</t>
  </si>
  <si>
    <t>025</t>
  </si>
  <si>
    <t>0257</t>
  </si>
  <si>
    <t>Ειδικό νοσοκομειακό επίδομα Ν.123/75</t>
  </si>
  <si>
    <t>0259</t>
  </si>
  <si>
    <t>Λοιπά τακτικά ειδικά επιδόματα</t>
  </si>
  <si>
    <t>0261</t>
  </si>
  <si>
    <t>028</t>
  </si>
  <si>
    <t>Διάφορες  Αποζημιώσεις</t>
  </si>
  <si>
    <t>0284</t>
  </si>
  <si>
    <t>0289</t>
  </si>
  <si>
    <t>Διάφορες  Αποζημιώσεις που δεν κατονομάζονται ειδικά</t>
  </si>
  <si>
    <t>01</t>
  </si>
  <si>
    <t>04</t>
  </si>
  <si>
    <t>ΑΜΟΙΒΕΣ ΟΣΩΝ  ΕΚΤΕΛΟΥ ΕΙΔΙΚΕΣ ΥΠΗΡΕΣΙΕΣ</t>
  </si>
  <si>
    <t>041</t>
  </si>
  <si>
    <t>Με την ιδιότητα των ελευθέρων επαγγελματιών</t>
  </si>
  <si>
    <t>0411</t>
  </si>
  <si>
    <t>Αμοιβές νομικών, που εκτελούν ειδ.υπηρ. με  την ιδ.ελευθ.επαγγελμ.</t>
  </si>
  <si>
    <t>0412</t>
  </si>
  <si>
    <t>Έσοδα από εκμίσθωση γηπέδων και υπαίθριων γενικά χώρων</t>
  </si>
  <si>
    <t>35</t>
  </si>
  <si>
    <t>ΠΡΟΣΟΔΟΙ ΤΟΥ Ν.Π.Δ.Δ. ΑΠΌ ΚΕΦΑΛΑΙΑ , ΚΙΝ. ΑΞΙΕΣ Κ.Λ.Π.</t>
  </si>
  <si>
    <t>351</t>
  </si>
  <si>
    <t>Τόκοι Κεφαλαίων</t>
  </si>
  <si>
    <t>3511</t>
  </si>
  <si>
    <t>Τόκοι απο καταθέσεις σε τράπεζες</t>
  </si>
  <si>
    <t>ΠΡΟΫΠΟΛΟΓΙΣΜΟΣ</t>
  </si>
  <si>
    <t>ΕΣΟΔΩΝ ΚΑΙ ΕΞΟΔΩΝ</t>
  </si>
  <si>
    <t>ΓΕΝΙΚΗ ΑΝΑΚΕΦΑΛΑΙΩΣΗ</t>
  </si>
  <si>
    <t>Έσοδα</t>
  </si>
  <si>
    <t>€</t>
  </si>
  <si>
    <t>Έξοδα</t>
  </si>
  <si>
    <t>Πλεόνασμα ή Έλλειμμα</t>
  </si>
  <si>
    <t>ΕΙΣΗΓΗΤΙΚΗ ΕΚΘΕΣΗ</t>
  </si>
  <si>
    <t xml:space="preserve">  Αναλυτικά κατά Κ.Α ο προυπολογισμός παρουσιάζει:</t>
  </si>
  <si>
    <t>Α' ΕΣΟΔΑ</t>
  </si>
  <si>
    <t>Α)</t>
  </si>
  <si>
    <t>.</t>
  </si>
  <si>
    <t>Δαπάνες για εκπαιδευτικές εκδρομές</t>
  </si>
  <si>
    <t>0549</t>
  </si>
  <si>
    <t>Λοιπές δαπάνες εκπαίδευσης</t>
  </si>
  <si>
    <t>0552</t>
  </si>
  <si>
    <t>0559</t>
  </si>
  <si>
    <t>Λοιπές εισφορές για την κοινωνική ασφάλιση</t>
  </si>
  <si>
    <t>06</t>
  </si>
  <si>
    <t>Ασφαλιστικές παροχές</t>
  </si>
  <si>
    <t>063</t>
  </si>
  <si>
    <t>Παροχές Πρόνοιας</t>
  </si>
  <si>
    <t>0631</t>
  </si>
  <si>
    <t>Βοηθήματα εφ΄΄απαξ</t>
  </si>
  <si>
    <t>0638</t>
  </si>
  <si>
    <t>067</t>
  </si>
  <si>
    <t>Παροχές Ασθένειας σε  είδος</t>
  </si>
  <si>
    <t>0674</t>
  </si>
  <si>
    <t>Πρόσθετη Περίθαλψη</t>
  </si>
  <si>
    <t>07</t>
  </si>
  <si>
    <t>ΠΛΗΡΩΜΕΣ ΓΙΑ ΤΗΝ ΜΕΤΑΚ.ΥΠΑΛΛΗΛΩΝ Ή ΜΗ</t>
  </si>
  <si>
    <t>071</t>
  </si>
  <si>
    <t>Οδοιπορικά έξοδα για μετακ. υπαλ. στην ημεδαπή</t>
  </si>
  <si>
    <t>0711</t>
  </si>
  <si>
    <t>Οδοιπορικά έξοδα μετακ.για εκτέλεση υπηρ. στην ημεδ. υπαλλήλων</t>
  </si>
  <si>
    <t>072</t>
  </si>
  <si>
    <t>Ημερήσια αποζημίωση για μετακ. υπαλ. στην ημεδαπή</t>
  </si>
  <si>
    <t>0721</t>
  </si>
  <si>
    <t>Ημερήσια αποζημίωση μετακ.για εκτέλεση υπηρ.στην  ημεδαπή υπαλ.</t>
  </si>
  <si>
    <t>Η ΔΙΕΥΘΥΝΤΡΙΑ</t>
  </si>
  <si>
    <t>ΜΩΥΣΙΑΔΟΥ ΕΛΙΣΑΒΕΤ</t>
  </si>
  <si>
    <t>ΑΝΑΛΥΣΗ Κ.Α. 0711 -Οδοιπορικά έξοδα μετακίνησης για εκτέλεση υπηρεσίας στην ημεδαπή υπαλλήλων</t>
  </si>
  <si>
    <t>ΑΝΑΛΥΣΗ Κ.Α. 0721 - Ημερήσια αποζημίωση μετακίνησης για εκτέλεση υπηρεσίας στην ημεδαπή υπαλλήλων</t>
  </si>
  <si>
    <t>Πρόσωπα που θα εκτελέσουν υπηρεσία</t>
  </si>
  <si>
    <t>Αιτιολογία</t>
  </si>
  <si>
    <t>Μετακινήσεις</t>
  </si>
  <si>
    <t>Ημέρες εκτός έδρας</t>
  </si>
  <si>
    <t>Αντίτιμο εισιτηρίου</t>
  </si>
  <si>
    <t>Ημερήσια Αποζημίωση</t>
  </si>
  <si>
    <t>1. Διοικ. Συμβούλιο, Πρόεδρος Δ.Σ</t>
  </si>
  <si>
    <t>Μετακινήσεις στην Αθήνα</t>
  </si>
  <si>
    <t>Επισκέψεις στις οικογένειες των παιδιών</t>
  </si>
  <si>
    <t>ΑΝΑΛΥΣΗ Κ.Α. 0832 - Τηλεφωνικά τέλη</t>
  </si>
  <si>
    <t>ΕΔΩ  ΘΑ ΧΡΕΙΑΣΤΕΙ ΝΑ ΣΥΜΠΛΗΡΩΣΕΤΕ ΟΤΙ ΔΕΔΟΜΕΝΑ ΕΧΕΤΕ ΓΙΑ ΚΑΘΕ ΚΩΔΙΚΟ. ΠΡΟΣΟΧΗ ΧΡΕΙΑΖΕΤΑΙ ΣΤΑ ΚΕΝΑ. ΜΗΝ ΒΑΖΕΤΕ ΤΕΛΕΙΕΣ ΣΤΑ ΝΟΥΜΕΡΑ ΜΟΝΟ ΚΟΜΜΑΤΑ. ΤΟ ΕΠΙΠΛΕΟΝ ΚΕΙΜΕΝΟ ΠΡΕΠΕΙ ΝΑ ΞΕΚΙΝΑΕΙ ΜΕ ΚΕΝΟ</t>
  </si>
  <si>
    <t>ΕΠΙΠΛΕΟΝ ΚΕΙΜΕΝΟ ΣΤΗΝ ΕΙΣΗΓΗΤΙΚΗ</t>
  </si>
  <si>
    <t>Επιχορηγήσεις για δαπάνες μισθοδοσίας προσωπικού</t>
  </si>
  <si>
    <t xml:space="preserve">  Η πίστωση αυτή  θα καλύψει τις ανάγκες μισθοδοσίας του Προέδρου του Διοικητικού Συμβουλίου σύμφωνα με το ΦΕΚ 695/6-6-2006.</t>
  </si>
  <si>
    <t>Επιχορηγήσεις για δαπάνες λειτουργίας</t>
  </si>
  <si>
    <t>085</t>
  </si>
  <si>
    <t>Δημόσιες σχέσεις</t>
  </si>
  <si>
    <t>0851</t>
  </si>
  <si>
    <t>Διαφημίσειςκαι δημοσιεύσεις</t>
  </si>
  <si>
    <t>0855</t>
  </si>
  <si>
    <t>Επιδείξεις , γιορτές και λοιπά θεάματα ( περ/νται βραβεία και έπαθλα ).</t>
  </si>
  <si>
    <t>0856</t>
  </si>
  <si>
    <t>Φιλοξενίες και δεξιώσεις</t>
  </si>
  <si>
    <t>0857</t>
  </si>
  <si>
    <t>Οργάνωση συνεδρίων, συμμετοχή σε συνέδρια</t>
  </si>
  <si>
    <t>0859</t>
  </si>
  <si>
    <t>Λοιπές δαπάνες δημοσίων σχέσεων</t>
  </si>
  <si>
    <t>086</t>
  </si>
  <si>
    <t>Συντήρηση και επισκευή μονίμων εγκαταστάσεων</t>
  </si>
  <si>
    <t>0863</t>
  </si>
  <si>
    <t>Συντήρηση και επισκευή κτιρίων</t>
  </si>
  <si>
    <t>087</t>
  </si>
  <si>
    <t>0878</t>
  </si>
  <si>
    <t>Συντ.  και επισκευή υδραυλικών, αρδευτικών κ.λ. έργων έγγειων βελτ.</t>
  </si>
  <si>
    <t>0879</t>
  </si>
  <si>
    <t>Συντήρηση και επισκευή λοιπών μονίμων εγκαταστ.(περ/νται διάφορα)</t>
  </si>
  <si>
    <t>088</t>
  </si>
  <si>
    <t>Συντήρηση και επισκευή μηχανικού και λοιπού εξοπλισμού.</t>
  </si>
  <si>
    <t>0881</t>
  </si>
  <si>
    <t>Συντήρηση και επισκευή μεταφορικών μέσων ξηράς</t>
  </si>
  <si>
    <t>0884</t>
  </si>
  <si>
    <t>Συντήρηση και επισκευή τηλεπικοινωνιακών μέσων</t>
  </si>
  <si>
    <t>0887</t>
  </si>
  <si>
    <t>Συντήρηση και επισκευή λοιπών μηχανημάτων</t>
  </si>
  <si>
    <t>0888</t>
  </si>
  <si>
    <t>Συντήρηση και επισκευή επίπλων και σκευών</t>
  </si>
  <si>
    <t>0889</t>
  </si>
  <si>
    <t>Συντήρηση και επισκευή λοιπού εξοπλισμού</t>
  </si>
  <si>
    <t>089</t>
  </si>
  <si>
    <t>0891</t>
  </si>
  <si>
    <t>Εκτυπώσεις, εκδόσεις γενικά και βιβλιοδετήσεις</t>
  </si>
  <si>
    <t>0892</t>
  </si>
  <si>
    <t>Ασφάλιστρα και φύλακτρα ακινήτων,μεταφ.μέσων, μηχ.εξοπλ. κλπ.</t>
  </si>
  <si>
    <t>0895</t>
  </si>
  <si>
    <t>Έξοδα λειτουργίας εργαστηρίων</t>
  </si>
  <si>
    <t>0896</t>
  </si>
  <si>
    <t xml:space="preserve">Επιδόσεις,δημοσιεύσεις,προσκλήσεις κ.λ.π. </t>
  </si>
  <si>
    <t>0899</t>
  </si>
  <si>
    <t>Λοιπές δαπάνες</t>
  </si>
  <si>
    <t>09</t>
  </si>
  <si>
    <t>ΦΟΡΟΙ-ΤΕΛΗ-ΕΞΟΔΑ ΒΕΒΑΙΩΣΗΣ &amp; ΕΙΣΠΡΑΞΗΣ ΕΣΟΔΩΝ</t>
  </si>
  <si>
    <t>091</t>
  </si>
  <si>
    <t>Φόροι - Τέλη</t>
  </si>
  <si>
    <t>0911</t>
  </si>
  <si>
    <t xml:space="preserve">Φόροι </t>
  </si>
  <si>
    <t>0912</t>
  </si>
  <si>
    <t xml:space="preserve">Τέλη </t>
  </si>
  <si>
    <t>093</t>
  </si>
  <si>
    <t>Προσαυξήσεις φόρων και λοιπών περιπτώσεων</t>
  </si>
  <si>
    <t>0932</t>
  </si>
  <si>
    <t>Προσαυξήσεις σε έμμεσους φόρους</t>
  </si>
  <si>
    <t>ΠΛΗΡΩΜΕΣ ΓΙΑ ΤΗΝ ΠΡΟΜΗΘΕΙΑ ΚΑΤΑΝΑΛΩΤΙΚΩΝ ΑΓΑΘΩΝ</t>
  </si>
  <si>
    <t>11</t>
  </si>
  <si>
    <t>ΠΡΟΜΗΘΕΙΑ ΣΚΕΥΩΝ ΜΑΓΕΙΡΙΟΥ,ΚΛΙΝΟΣΤΡΩΜΩΝ Κ.Λ.Π.</t>
  </si>
  <si>
    <t>112</t>
  </si>
  <si>
    <t>Προμήθεια σκευών μαγειρείων και εστίασης</t>
  </si>
  <si>
    <t>1129</t>
  </si>
  <si>
    <t>Προμήθεια σκευών μαγειρείων και εστίασης που δεν κατονομ. ειδικά.</t>
  </si>
  <si>
    <t>113</t>
  </si>
  <si>
    <t>Προμήθεια κλινοστρωμνών και ειδών κατασκήνωσης</t>
  </si>
  <si>
    <t>1139</t>
  </si>
  <si>
    <t>Προμήθεια κλινοστρωμνών και ειδών κατασκήνωσηςπου δεν κατον.ειδ.</t>
  </si>
  <si>
    <t>12</t>
  </si>
  <si>
    <t>ΕΞΟΠΛΙΣΜΟΣ ΓΡΑΦΕΙΩΝ,ΕΡΓΑΣΤΗΡΙΩΝ .κλπ.(εκτός επίπλ.&amp;σκε. )</t>
  </si>
  <si>
    <t>124</t>
  </si>
  <si>
    <t>Προμήθεια εποπτικών μέσων διδασκαλίας</t>
  </si>
  <si>
    <t>1249</t>
  </si>
  <si>
    <t>Αμοιβές λοιπών που εκτελούν ειδικές υπηρεσίες με την ιδιότητα του ελεύθερου επαγγελματία</t>
  </si>
  <si>
    <t xml:space="preserve"> Δαπάνες επιμόρφωσης υπαλλήλων Ν.Π.Δ.Δ</t>
  </si>
  <si>
    <t>Εισφορές σε λοιπούς ασφαλιστικούς οργανισμούς</t>
  </si>
  <si>
    <t xml:space="preserve">  για εισφορές εργοδότου υπερ Τ.Σ.Α.Υ.</t>
  </si>
  <si>
    <t xml:space="preserve">  για εισφορές εργοδότου υπερ Τ.Ε.Α.Δ.Υ.</t>
  </si>
  <si>
    <t>Βοηθήματα εφ` άπαξ</t>
  </si>
  <si>
    <t>Αποζημίωση απολυομένων</t>
  </si>
  <si>
    <t xml:space="preserve"> για αποζημίωση εκτάκτου προσωπικού λόγω αποχώρησης από την υπηρεσία Ν993/79.</t>
  </si>
  <si>
    <t>Οδοιπορικά έξοδα μετακίνησης για εκτέλεση υπηρεσίας στην ημεδαπή υπαλλήλων</t>
  </si>
  <si>
    <t xml:space="preserve"> για οδοιπορικά έξοδα εκτός έδρας υπηρεσίας υπαλλήλων του κέντρου. (επισυνάπτεται κατάσταση).</t>
  </si>
  <si>
    <t>Ημερήσια αποζημίωση μετακίνησης για εκτέλεση υπηρεσίας στην ημεδαπή υπαλλήλων</t>
  </si>
  <si>
    <t xml:space="preserve"> για ημερήσια αποζημίωση για υπηρεσία εκτός έδρας, των υπαλλήλων του κέντρου (επισυνάπτεται κατάσταση).</t>
  </si>
  <si>
    <t xml:space="preserve">Λοιπά μισθώματα </t>
  </si>
  <si>
    <t>Μεταφορές μαθητών και φοιτητών</t>
  </si>
  <si>
    <t xml:space="preserve"> για τη μεταφορά των παιδιών του Κέντρου στο Ειδικό Σχολείο και στην Τεχνική Επαγγελματική Σχολή επειδή το σχολικό λεωφορείο του Κέντρου έχει κριθεί ακατάληλο για την μεταφορά παιδιών.</t>
  </si>
  <si>
    <t>Τηλεφωνικά, τηλεγραφικά και τηλετυπικά τέλη εσωτερικού</t>
  </si>
  <si>
    <t>Εξοδα τηλεπικοινωνιακών εγκαταστάσεων κ.λ.π.</t>
  </si>
  <si>
    <t>Φωτισμός , κίνηση και θέρμανση  (με ηλεκτρισμό , φωταέριο και λοιπές πηγές ενέργειας)</t>
  </si>
  <si>
    <t>Συντήρηση και επισκευή λοιπών μονίμων εγκαταστάσεων</t>
  </si>
  <si>
    <t>Συντήρηση, επισκευή μεταφορικών μέσων ξηράς</t>
  </si>
  <si>
    <t>Προμήθεια ειδών συντηρ. και επισκ. μονιμ. εγκαταστάσεων</t>
  </si>
  <si>
    <t>1413</t>
  </si>
  <si>
    <t>Προμήθεια ειδών συντ.  και επισκευής κτιρίων γενικά</t>
  </si>
  <si>
    <t>142</t>
  </si>
  <si>
    <t>1428</t>
  </si>
  <si>
    <t>Προμήθεια ειδών συντηρ.και επισκ.υδραυλικών,αρδευτικών  κ.λ.έργων</t>
  </si>
  <si>
    <t>1429</t>
  </si>
  <si>
    <t>Προμήθεια ειδών συντηρ.και επισκ.λοιπών μονίμων εγκαταστάσεων</t>
  </si>
  <si>
    <t>143</t>
  </si>
  <si>
    <t>Προμήθ. ειδών συντ. και επισκ. μηχαν. και λοιπού εξοπλισμού</t>
  </si>
  <si>
    <t>1431</t>
  </si>
  <si>
    <t>Προμήθεια ειδών συντήρ. Και επισκ. μεταφορικών μέσων ξηράς</t>
  </si>
  <si>
    <t>1435</t>
  </si>
  <si>
    <t>Προμήθεια ελαστικών</t>
  </si>
  <si>
    <t>1436</t>
  </si>
  <si>
    <t>Προμήθεια ειδών συντήρησης &amp; επισκ. Τηλεπικοινωνιακών μέσων</t>
  </si>
  <si>
    <t>1438</t>
  </si>
  <si>
    <t>Προμήθεια ειδών συντήρησης &amp; επισκ. επίπλων  και σκευών</t>
  </si>
  <si>
    <t>1439</t>
  </si>
  <si>
    <t>Λοιπές προμήθειες συντηρ.&amp; επισκ. μηχανικού και λοιπού εξοπλ.</t>
  </si>
  <si>
    <t>15</t>
  </si>
  <si>
    <t>ΠΡΟΜΗΘΕΙΑ ΕΙΔΩΝ ΔΙΑΤΡΟΦΗΣ, ΙΜΑΤΙΣΜΟΥ,ΥΠΟΔΗΣΗΣ&amp; ΥΛ. ΕΞ.</t>
  </si>
  <si>
    <t>151</t>
  </si>
  <si>
    <t>Προμήθεια ειδών διατροφής</t>
  </si>
  <si>
    <t>1511</t>
  </si>
  <si>
    <t>Προμήθεια τροφίμων, ποτών , καπνού</t>
  </si>
  <si>
    <t>152</t>
  </si>
  <si>
    <t xml:space="preserve">Προμήθεια ειδών Ιματισμού </t>
  </si>
  <si>
    <t>1529</t>
  </si>
  <si>
    <t>Προμήθεια ιματισμού λοιπών περιπτώσεων</t>
  </si>
  <si>
    <t>153</t>
  </si>
  <si>
    <t>Προμήθεια ειδών υπόδησης</t>
  </si>
  <si>
    <t>1531</t>
  </si>
  <si>
    <t>Προμήθεια υποδημάτων</t>
  </si>
  <si>
    <t>16</t>
  </si>
  <si>
    <t>ΠΡΟΜΗΘΕΙΑ ΚΑΥΣΙΜΩΝ ΚΑΙ  ΛΙΠΑΝΤΙΚΩΝ</t>
  </si>
  <si>
    <t>161</t>
  </si>
  <si>
    <t>Προμήθ. υγρών- στερεών καυσίμων ,υγραερ., αερίων ψύξης κ.λ.π.</t>
  </si>
  <si>
    <t>1611</t>
  </si>
  <si>
    <t>Προμήθεια υγρών καυσίμων και λιπαντικών</t>
  </si>
  <si>
    <t>1613</t>
  </si>
  <si>
    <t>Προμήθεια υγραερίων-φωταερίων</t>
  </si>
  <si>
    <t>17</t>
  </si>
  <si>
    <t>ΠΡΟΜ.ΥΛΙΚ. ΕΚΤΥΠ.,ΒΙΒΛ.,ΤΥΠ/ΚΩΝ ΚΑΙ ΛΟΙΠΩΝ ΕΡΓΑΣΙΩΝ</t>
  </si>
  <si>
    <t>173</t>
  </si>
  <si>
    <t>Προμήθεια φωτογραφικών και φωτοτυπικών υλικών</t>
  </si>
  <si>
    <t>1731</t>
  </si>
  <si>
    <t>Προμήθεια φωτογραφικού και φωτοτυπικού υλικού</t>
  </si>
  <si>
    <t>18</t>
  </si>
  <si>
    <t>ΛΟΙΠΕΣ ΠΡΟΜΗΘΕΙΕΣ ΠΟΥ ΔΕΝ  ΠΕΡΙΛ/ΝΤΑΙ ΣΤΙΣ ΠΑΡΑΠ. ΚΑΤ.</t>
  </si>
  <si>
    <t>183</t>
  </si>
  <si>
    <t>Προμήθεια υλικού εκπαίδευσης σχολών</t>
  </si>
  <si>
    <t>1831</t>
  </si>
  <si>
    <t>Προμήθεια υλικού εκπαίδευσης</t>
  </si>
  <si>
    <t>184</t>
  </si>
  <si>
    <t>Προμήθεια εργαλείων μικράς αξίας μη ειδ. Κατανομ/μένων</t>
  </si>
  <si>
    <t>1841</t>
  </si>
  <si>
    <t xml:space="preserve">Προμήθεια εργαλείων μικρής διάρκειας και  αξίας </t>
  </si>
  <si>
    <t>189</t>
  </si>
  <si>
    <t>Διάφορες προμήθειες</t>
  </si>
  <si>
    <t xml:space="preserve"> για προμήθεια ηλεκτρικών λαμπτήρων για τις ανάγκες του Κέντρου.</t>
  </si>
  <si>
    <t xml:space="preserve"> για την αναγόμωση των πυροσβεστήρων του Κέντρου.</t>
  </si>
  <si>
    <t>Προμήθεια ειδών συντήρησης  και επισκευής κτιρίων γενικά</t>
  </si>
  <si>
    <t xml:space="preserve"> για προμήθεια ειδών καθαριότητας.</t>
  </si>
  <si>
    <t>Προμήθεια ειδών συντήρησης και επισκευής λοιπών μονίμων εγκαταστάσεων</t>
  </si>
  <si>
    <t>Προμήθεια ειδών συντήρησης και επισκευής μεταφορικών μέσων ξηράς.</t>
  </si>
  <si>
    <t>Λοιπές προμήθειες ειδών συντήρησης και επισκευής μηχανικού και λοιπού εξοπλισμού</t>
  </si>
  <si>
    <t xml:space="preserve"> για προμήθεια ανταλακτικών , μηχανικού και λοιπού εξοπλισμού του κέντρου.</t>
  </si>
  <si>
    <t>Προμήθεια τροφίμων, ποτών, καπνού</t>
  </si>
  <si>
    <t xml:space="preserve">ΑΠΟΔΟΣΕΙΣ ΕΣΟΔΩΝ ΠΟΥ ΕΙΣΠΡΑΧΤΗΚΑΝ ΥΠΕΡ ΤΡΙΤΩΝ </t>
  </si>
  <si>
    <t>331</t>
  </si>
  <si>
    <t>Απόδ. σε μετ.ταμεία υπαλλ. των  εισπράξεων που ενεργ.γι΄αυτά</t>
  </si>
  <si>
    <t>3311</t>
  </si>
  <si>
    <t>Απόδοση στο Μ.Τ.Π.Υ των εισπράξεων που έγιναν γι΄αυτό</t>
  </si>
  <si>
    <t>339</t>
  </si>
  <si>
    <t>Αποδ.των εισπράξεων που έγιναν για λογαρ.του Δημοσίου κ.λ.π.</t>
  </si>
  <si>
    <t>3391</t>
  </si>
  <si>
    <t>Απόδοση των εισπράξεων που έγιναν για λογαρ. του Δημοσίου</t>
  </si>
  <si>
    <t>3392</t>
  </si>
  <si>
    <t xml:space="preserve"> για διάφορες προμήθειες που δεν συμπεριλαμβάνονται σε άλλους Κ.Α.</t>
  </si>
  <si>
    <t xml:space="preserve"> έξοδα που θα προκύψουν για την ολοκλήρωση του προγράμματος &lt;&lt;ΥΓΕΙΑ-ΠΡΟΝΟΙΑ 2000-2006&gt;&gt; Μέτρο 3.2 σταδιακή επανένταξη των ατόμων με ειδικές ανάγκες στην κοινωνικοοικονομική ζωή και προώθηση στην αυτόνομη διαβίωση με τίτλο του προγράμματος του ΚΑΑΜΕΑ "Λειτουργία τριών προστατευμένων διαμερισμάτων ημιαυτόνομης διαβίωσης.</t>
  </si>
  <si>
    <t xml:space="preserve"> Ποσό που προβλέπουμε να δαπανήσουμε για την επιμόρφωση των νεοπροσληφθέντων υπαλλήλων του Κέντρου.</t>
  </si>
  <si>
    <t>5</t>
  </si>
  <si>
    <t>ΛΟΙΠΑ ΕΣΟΔΑ</t>
  </si>
  <si>
    <t>52</t>
  </si>
  <si>
    <t>ΕΣΟΔΑ ΥΠΕΡ ΔΗΜΟΣΙΟΥ ΚΑΙ ΤΡΙΤΩΝ</t>
  </si>
  <si>
    <t>521</t>
  </si>
  <si>
    <t>5211</t>
  </si>
  <si>
    <t>Έσοδα υπέρ Μ.Τ.Π.Υ</t>
  </si>
  <si>
    <t>529</t>
  </si>
  <si>
    <t>Έσοδα υπέρ του Δημοσίου, αποκ. Δ.Υ και λοιπών Ν.Π.Δ.Δ.</t>
  </si>
  <si>
    <t>5291</t>
  </si>
  <si>
    <t xml:space="preserve">Έσοδα υπέρ του Δημοσίου. </t>
  </si>
  <si>
    <t xml:space="preserve"> γράφτηκε αντίστοιχη πίστωση στα έσοδα.</t>
  </si>
  <si>
    <t xml:space="preserve"> γράφτηκε αντίστοιχα στα έσοδα.</t>
  </si>
  <si>
    <t xml:space="preserve"> ως αμοιβές για νομική εκπροσώπηση του ιδρύματος σε ήδη εκκρεμείς δικαστικές υποθέσεις αλλά και σε τυχόν νέες που θα προκύψουν.</t>
  </si>
  <si>
    <t>ΕΔΩ ΕΙΣΑΓΕΤΕ ΔΕΔΟΜΕΝΑ ΣΧΕΤΙΚΑ ΜΕ ΤΑ ΚΕΙΜΕΝΑ ΠΟΥ ΕΜΦΑΝΙΖΟΝΤΑΙ ΣΤΟ ΑΡΧΕΙΟ</t>
  </si>
  <si>
    <t>Οικονομικό έτος</t>
  </si>
  <si>
    <t>Αριθμός Συνεδρίασης κατά την οποία εγκρίθηκε ο παρών προυπολογισμός</t>
  </si>
  <si>
    <t>Κείμενο εισαγωγής πρότασης στην εισηγητική έκθεση, έσοδα</t>
  </si>
  <si>
    <t>Γράφτηκε πίστωση</t>
  </si>
  <si>
    <t>Κείμενο εισαγωγής πρότασης στην εισηγητική έκθεση, έξοδα</t>
  </si>
  <si>
    <t>Ποσό που προβλέπουμε να δαπανήσουμε</t>
  </si>
  <si>
    <t>Κείμενο εισαγωγής τίτλου στην εισηγητική έκθεση</t>
  </si>
  <si>
    <t>Στον Κ.Α</t>
  </si>
  <si>
    <t>Ημερομηνια εισηγητικής έκθεσης</t>
  </si>
  <si>
    <t>Στήλες 1</t>
  </si>
  <si>
    <t>Κωδικός Αριθμός</t>
  </si>
  <si>
    <t>Στήλες 2</t>
  </si>
  <si>
    <t>Κατονομασία</t>
  </si>
  <si>
    <t>Στήλες 3α</t>
  </si>
  <si>
    <t>Στήλες 3β</t>
  </si>
  <si>
    <t xml:space="preserve"> σε ΕΥΡΩ</t>
  </si>
  <si>
    <t>Στήλες 4</t>
  </si>
  <si>
    <t>Στήλες 5</t>
  </si>
  <si>
    <t>Στήλες 6</t>
  </si>
  <si>
    <t>2.Μέλος Διοικ. Συμβουλίου</t>
  </si>
  <si>
    <t>3. Διευθύντρια</t>
  </si>
  <si>
    <t>4. Ψυχολόγος</t>
  </si>
  <si>
    <t>5. Κοινωνική Λειτουργός</t>
  </si>
  <si>
    <t>93</t>
  </si>
  <si>
    <t>Επενδύσεις εκτελ. μέσω του προϋπ/σμού Δημοσίων Επενδύσεων</t>
  </si>
  <si>
    <t>8</t>
  </si>
  <si>
    <t>ΕΣΟΔΑ  ΠΑΡΕΛΘΟΝΤΩΝ ΕΤΩΝ</t>
  </si>
  <si>
    <t>84</t>
  </si>
  <si>
    <t>ΕΣΟΔΑ ΑΠΌ ΤΗΝ ΕΠΙΧ/ΚΗ ΓΕΝΙΚΑ ΔΡΑΣΤΗΡΙΟΤΗΤΑ ΤΟΥ Ν.Π.Δ.Δ.</t>
  </si>
  <si>
    <t>841</t>
  </si>
  <si>
    <t>8412</t>
  </si>
  <si>
    <t>Έσοδα από προσφ. υγειον. υπηρ. προερχ. από πληρ. Ν.Π.Δ.Δ.</t>
  </si>
  <si>
    <t>8413</t>
  </si>
  <si>
    <t>97</t>
  </si>
  <si>
    <t>Επενδύσεις εκτελούμενες  απ΄τα  έσοδα των  Ν.Π.Δ.Δ.</t>
  </si>
  <si>
    <t>972</t>
  </si>
  <si>
    <t>Επισκευή και συντ. κτιρίων καθώς και κάθε είδους εγκατ.σε αυτά'</t>
  </si>
  <si>
    <t>9723</t>
  </si>
  <si>
    <t>Επισκευή &amp; συντ. κτιρίων υγειον. Ιδρυμάτων και κάθε είδους εγκ.σ΄αυτά</t>
  </si>
  <si>
    <t>974</t>
  </si>
  <si>
    <t>9743</t>
  </si>
  <si>
    <t>Προμήθεια ηλεκτρ.μηχαν/των &amp; συσκευών ( πλην τηλ/κών κ.λ.π)</t>
  </si>
  <si>
    <t>9746</t>
  </si>
  <si>
    <t>Προμήθεια ψυγείων, ψυκτικών μηχανημάτων κλιματισμού κ.λ.π.</t>
  </si>
  <si>
    <t>9749</t>
  </si>
  <si>
    <t>Προμήθεια μηχανικού &amp; λοιπού κεφ/κού εξοπλ.που δεν κατονομ. ειδικά</t>
  </si>
  <si>
    <t>976</t>
  </si>
  <si>
    <t>Μελέτες, Έρευνες, Πειραματικές εργασίες</t>
  </si>
  <si>
    <t>9762</t>
  </si>
  <si>
    <t>Μελέτες  και έρευνες για εκτέλεση έργων</t>
  </si>
  <si>
    <t>9921</t>
  </si>
  <si>
    <t>ΤΑΜΕΙΑΚΟ ΥΠΟΛΟΙΠΟ</t>
  </si>
  <si>
    <t>ΑΝΑΚΕΦΑΛΑΙΩΣΗ  ΕΣΟΔΩΝ</t>
  </si>
  <si>
    <t>ΚΑΤΗΓΟΡΙΑ I (0,1,2,3,4,5,6)</t>
  </si>
  <si>
    <t>ΚΑΤΗΓΟΡΙΑ ΙΙΙ (8)</t>
  </si>
  <si>
    <t>ΓΕΝΙΚΟ ΣΥΝΟΛΟ ΕΣΟΔΩΝ</t>
  </si>
  <si>
    <r>
      <t>Έσοδα υπέρ Μετοχικών ταμείων Υπαλλήλων</t>
    </r>
    <r>
      <rPr>
        <b/>
        <sz val="6"/>
        <rFont val="Arial Greek"/>
        <family val="2"/>
      </rPr>
      <t xml:space="preserve"> και Στρατιωτικών</t>
    </r>
  </si>
  <si>
    <t>ΕΛΛΗΝΙΚΗ ΔΗΜΟΚΡΑΤΙΑ</t>
  </si>
  <si>
    <t>ΑΡΙΘΜΟΣ ΚΩΔΙΚΑ &amp; ΧΡΗΣΗ</t>
  </si>
  <si>
    <t>ΚΑΤΟΝΟΜΑΣΙΑ</t>
  </si>
  <si>
    <t>srch</t>
  </si>
  <si>
    <t>kod</t>
  </si>
  <si>
    <t>ΑΠΟΘΕΜΑΤΙΚΟ ΛΕΙΤΟΥΡΓΙΚΩΝ</t>
  </si>
  <si>
    <t>ΠΛΗΡΩΜΕΣ  ΓΙΑ  ΥΠΗΡΕΣΙΕΣ</t>
  </si>
  <si>
    <t>02</t>
  </si>
  <si>
    <t>ΑΜΟΙΒΕΣ ΥΠΑΛΛΗΛΩΝ , ΥΠΗΡΕΤΩΝ ΚΑΙ ΕΡΓΑΤΩΝ</t>
  </si>
  <si>
    <t>021</t>
  </si>
  <si>
    <t>Βασικός μισθός</t>
  </si>
  <si>
    <t>0211</t>
  </si>
  <si>
    <t>0212</t>
  </si>
  <si>
    <t>Βασικός μισθός εκτάκτων</t>
  </si>
  <si>
    <t>022</t>
  </si>
  <si>
    <t>Γενικά τακτικά επιδόματα</t>
  </si>
  <si>
    <t>0224</t>
  </si>
  <si>
    <t xml:space="preserve"> για  πληρωμή λογαριασμών τηλεφωνικών συνδιαλέξεων. (επισυνάπτεται κατάσταση).</t>
  </si>
  <si>
    <t>1899.02</t>
  </si>
  <si>
    <t>7122.01</t>
  </si>
  <si>
    <t>Αμοιβές τεχνικών που εκτελούν ειδικές υπηρ. με  ιδιότητα ελεύθ.επαγ.</t>
  </si>
  <si>
    <t>0413</t>
  </si>
  <si>
    <t>Αμοιβές υγειον. που εκτελ. Ειδ. Υπηρ. με την ιδιότητα του ελεύθ. επ.</t>
  </si>
  <si>
    <t>0419</t>
  </si>
  <si>
    <t>Αμοιβές λοιπών , που εκτελούν ειδ. υπηρ. με την ιδ. ελευθ. επαγγελμ.</t>
  </si>
  <si>
    <t>042</t>
  </si>
  <si>
    <t>Με κάθε άλλη ιδιότητα φυσικού προσώπου</t>
  </si>
  <si>
    <t>0426</t>
  </si>
  <si>
    <t>Αμοιβαί ιδιωτ.γραφ. &amp; ιδιωτών για την  εκτέλ. μηχανογρ. Εργασιών</t>
  </si>
  <si>
    <t>0429</t>
  </si>
  <si>
    <t>Λοιπές αμοιβές φυσ.προσώπων που εκτελούν ειδικές υπηρεσίες.</t>
  </si>
  <si>
    <t>043</t>
  </si>
  <si>
    <t>Με την ιδιότητα νομικού προσώπου</t>
  </si>
  <si>
    <t>0439</t>
  </si>
  <si>
    <t>Λοιπές αμοιβές νομ. προσώπων που εκτελούν ειδ.υπηρεσίες</t>
  </si>
  <si>
    <t>05</t>
  </si>
  <si>
    <t>ΣΥΜΜΕΤΟΧΗ ΤΟΥ ΝΠΔΔ ΣΤΗΝ ΚΟΙΝ.ΠΡΟΝΟΙΑ, ΑΣΦΑΛ.,Κ.Λ.Π.</t>
  </si>
  <si>
    <t>051</t>
  </si>
  <si>
    <t>Έξοδα Νοσηλείας</t>
  </si>
  <si>
    <t>0519</t>
  </si>
  <si>
    <t xml:space="preserve">Λοιπές περιπτώσεις παροχής εξόδων νοσηλείας </t>
  </si>
  <si>
    <t>053</t>
  </si>
  <si>
    <t>Εξοδα κηδειών</t>
  </si>
  <si>
    <t>0539</t>
  </si>
  <si>
    <t xml:space="preserve">Εξοδα κηδειας λοιπων                </t>
  </si>
  <si>
    <t>054</t>
  </si>
  <si>
    <t>Δαπάνες εκπαίδευσης</t>
  </si>
  <si>
    <t>0541</t>
  </si>
  <si>
    <t>Δαπάνες επιμόρφωσης υπαλλήλων Ν.Π.Δ.Δ.</t>
  </si>
  <si>
    <t>0543</t>
  </si>
  <si>
    <t>3123</t>
  </si>
  <si>
    <t>313</t>
  </si>
  <si>
    <t>Έσοδα απο προσφ. υγειον.υπηρ. προερ. απο πληρ. κοιν. ασφ.</t>
  </si>
  <si>
    <t>3139</t>
  </si>
  <si>
    <t>Λοιπά έσοδα απο προσφ. υγειον. υπηρεσιών (Ι.Κ.Α.,ΤΕΒΕ Κ.Λ.Π. ).</t>
  </si>
  <si>
    <t>315</t>
  </si>
  <si>
    <t>Έσοδα απο προσφορά Υπηρεσιών εκπαίδευσης</t>
  </si>
  <si>
    <t>3159</t>
  </si>
  <si>
    <t>Λοιπά έσοδα απο προσφορά Υπηρεσιών εκπαίδευσης</t>
  </si>
  <si>
    <t>32</t>
  </si>
  <si>
    <t>329</t>
  </si>
  <si>
    <t>Έσοδα από προσφορά λοιπών υπηρεσιών</t>
  </si>
  <si>
    <t>3292</t>
  </si>
  <si>
    <t>Έσοδα από δικαιώματα σε βάρος οικοτρόφων</t>
  </si>
  <si>
    <t>34</t>
  </si>
  <si>
    <t>ΕΣΟΔΑ ΑΠΟ ΕΚΜΙΣΘΩΣΗ ΚΙΝΗΤΗΣ Ή  ΑΚΙΝΗΤΗΣ ΠΕΡΙΟΥΣΙΑΣ</t>
  </si>
  <si>
    <t>341</t>
  </si>
  <si>
    <t>Έσοδα απο εκμίσθωση ακίνητης περιουσίας</t>
  </si>
  <si>
    <t>3411</t>
  </si>
  <si>
    <t>Έσοδα από εκμίσθωση οικιών και γραφείων</t>
  </si>
  <si>
    <t>Εκτίμηση πραγματοποιηθέντων έως 31/12/2004</t>
  </si>
  <si>
    <t>Εκτίμηση πραγματοποιη-θέντων έως 31/12/2004</t>
  </si>
  <si>
    <t>3412</t>
  </si>
  <si>
    <t>Έσοδα από εκμίσθωση καταστημάτων γενικά</t>
  </si>
  <si>
    <t>3413</t>
  </si>
  <si>
    <t>08</t>
  </si>
  <si>
    <t>ΠΛΗΡΩΜΕΣ ΓΙΑ ΜΗ ΠΡΟΣΩΠΙΚΕΣ ΥΠΗΡΕΣΙΕΣ</t>
  </si>
  <si>
    <t>081</t>
  </si>
  <si>
    <t>Μισθώματα</t>
  </si>
  <si>
    <t>0813</t>
  </si>
  <si>
    <t>Μισθώματα κτιρίων και έξοδα κοινοχρήστων</t>
  </si>
  <si>
    <t>0815</t>
  </si>
  <si>
    <t>Μισθώματα μεταφορικών μέσων</t>
  </si>
  <si>
    <t>0819</t>
  </si>
  <si>
    <t>Λοιπά μισθώματα (ταχ.θυρίδα-δοσιμ.)</t>
  </si>
  <si>
    <t>082</t>
  </si>
  <si>
    <t>Μεταφορές προσώπων και αγαθών</t>
  </si>
  <si>
    <t>0822</t>
  </si>
  <si>
    <t>Μεταφορές πάσης φύσεως ασθενών ( και έξοδα συνοδών ).</t>
  </si>
  <si>
    <t>0824</t>
  </si>
  <si>
    <t>Μεταφορές αγαθών ( περ/νται τα πλοηγ. και τέλη αεροδρομίων ).</t>
  </si>
  <si>
    <t>0828</t>
  </si>
  <si>
    <t>083</t>
  </si>
  <si>
    <t>Επικοινωνίες</t>
  </si>
  <si>
    <t>0831</t>
  </si>
  <si>
    <t>Ταχυδρομικά Τέλη</t>
  </si>
  <si>
    <t>0832</t>
  </si>
  <si>
    <t>Τηλεφωνικά, Τηλεγραφικά και τηλετυπικά τέλη εσωτερικού</t>
  </si>
  <si>
    <t>0834</t>
  </si>
  <si>
    <t>084</t>
  </si>
  <si>
    <t>Ύδρευση,Άρδευση , φωτισμός και καθαριότητα</t>
  </si>
  <si>
    <t>0841</t>
  </si>
  <si>
    <t>Ύδρευση και άρδευση</t>
  </si>
  <si>
    <t>0842</t>
  </si>
  <si>
    <t>Φωτισμός και κίνηση (με ηλεκτρισμό ή φωταέριο ).</t>
  </si>
  <si>
    <t>0843</t>
  </si>
  <si>
    <t>Πλυντικά</t>
  </si>
  <si>
    <t>0844</t>
  </si>
  <si>
    <t>Δαπάνες εκκενώσεως βόθρων</t>
  </si>
  <si>
    <t>0849</t>
  </si>
  <si>
    <t xml:space="preserve">Λοιπές δαπάνες </t>
  </si>
  <si>
    <t>Στον Κ.Α.9914 Εσοδα από επιχορηγήσεις για μηχανικό και λοιπό κεφαλαιουχικό εξοπλισμό</t>
  </si>
  <si>
    <t>Γράφτηκε πίστωση 59.000,00 € υπόλοιπο επιχορήγησης από την Ευρωπαϊκή ΄Ενωση για την εξόφληση του εξοπλισμού του έργου 2008ΣΕ09130053  “Εξοπλισμός τριών προστατευμένων διαμερισμάτων ημιαυτόνομης διαβίωσης”.</t>
  </si>
  <si>
    <t>Στον ΚΕΑ.9921 'Εσοδα από επιχορήγηση για δαπάνες διοίκησης και λειτουργίας</t>
  </si>
  <si>
    <t>Γράφτηκε πίστωση 43.710,00 € υπόλοιπο επιχορήγησης από την Ευρωπαϊκή ΄Ενωση για την ολοκλήρωση του προγράμματος « ΥΓΕΙΑ-ΠΡΟΝΟΙΑ  2000-2006» Μέτρο 3.2 “Σταδιακή επανένταξη των ατόμων με ειδικές ανάγκες στην κοινωνικοοικονομική ζωή και προώθηση στην αυτόνομη διαβίωση” με τίτλο του προγράμματος του ΚΑΑΜΕΑ “Λειτουργία τριών προστατευμένων διαμερισμάτων ημιαυτόνομης διαβίωσης”.</t>
  </si>
  <si>
    <t>ΣΥΝΟΛΟ ΕΣΟΔΩΝ:</t>
  </si>
  <si>
    <t>Β' ΕΞΟΔΑ</t>
  </si>
  <si>
    <t>Για λειτουργικές ανάγκες του Ιδρύματος γράφτηκαν οι παρακάτω πιστώσεις:</t>
  </si>
  <si>
    <t>Γράφτηκε πίστωση 2.000,00 € .Ποσό που προβλέπουμε να δαπανήσουμε για την επιμόρφωση των νεοπροσληφθέντων υπαλλήλων του Κέντρου.</t>
  </si>
  <si>
    <t>ΑΝΑΛΥΣΗ ΚΩΔΙΚΩΝ</t>
  </si>
  <si>
    <t>:</t>
  </si>
  <si>
    <t>Προμήθεια εποπτικών μέσων διδασκαλίας που δεν κατ. Ειδικά</t>
  </si>
  <si>
    <t>125</t>
  </si>
  <si>
    <t>Προμήθεια Βιβλίων και εντύπων γενικά</t>
  </si>
  <si>
    <t>1259</t>
  </si>
  <si>
    <t>Προμήθεια βιβλίων, περιοδικών, εφημερίδων και λοιπών εκδόσεων</t>
  </si>
  <si>
    <t>126</t>
  </si>
  <si>
    <t>Προμήθεια γραφικής ύλης (και μικροαντικ. γραφείου γενικά )</t>
  </si>
  <si>
    <t>1261</t>
  </si>
  <si>
    <t>Προμήθεια γραφικής ύλης και μικροαντικειμένων  γραφείου γενικά</t>
  </si>
  <si>
    <t>128</t>
  </si>
  <si>
    <t>Προμήθεια υλικού μηχανογραφικών εφαρμογών</t>
  </si>
  <si>
    <t>1281</t>
  </si>
  <si>
    <t>Υλικά μηχαν/κών και συναφών εφαρμογών</t>
  </si>
  <si>
    <t>129</t>
  </si>
  <si>
    <t>Λοιπές προμήθειες εξοπλισμού γραφείων, εργαστηρ. και εκμετ.</t>
  </si>
  <si>
    <t>1292</t>
  </si>
  <si>
    <t>Προμήθεια ηλεκτρικών λαμπτήρων</t>
  </si>
  <si>
    <t>1293</t>
  </si>
  <si>
    <t>Προμήθεια εντύπων και  δελτίων μηχανογράφησης</t>
  </si>
  <si>
    <t>1294</t>
  </si>
  <si>
    <t>Προμήθεια ειδών ραδιοφωνίας και τηλεόρασης</t>
  </si>
  <si>
    <t>1299</t>
  </si>
  <si>
    <t>Λ. προμ. Εξοπλισμ. Γραφ., εργ. Και εκμεταλεύσεων</t>
  </si>
  <si>
    <t>13</t>
  </si>
  <si>
    <t>ΕΙΔΗ ΥΓΙΕΙΝΗΣ,ΚΑΘΑΡΙΟΤΗΤΑΣ ΚΑΙ ΕΥΠΡΕΠΙΣΜΟΥ</t>
  </si>
  <si>
    <t>131</t>
  </si>
  <si>
    <t>Υγειονομικό και Φαρμακευτικό Υλικό</t>
  </si>
  <si>
    <t>1311</t>
  </si>
  <si>
    <t>Προμήθεια υγειονομικού υλικού</t>
  </si>
  <si>
    <t>Προμήθεια υγειονομικού υλικού Τρέχοντος έτους</t>
  </si>
  <si>
    <t>1312</t>
  </si>
  <si>
    <t>Προμήθεια φαρμακευτικού υλικού</t>
  </si>
  <si>
    <t>Προμήθεια φαρμακευτικού υλικού  Τρέχοντος έτους</t>
  </si>
  <si>
    <t>1313</t>
  </si>
  <si>
    <t>Προμήθεια Ορθοπεδικών ,προσθετικών και λοιπών υλικών αναπήρων</t>
  </si>
  <si>
    <t>Προμήθεια Ορθοπεδικών ,προσθετικών και λοιπών υλικών αναπήρων  Τρέχοντος έτους</t>
  </si>
  <si>
    <t>135</t>
  </si>
  <si>
    <t>Προμήθεια Χημικού Υλικού</t>
  </si>
  <si>
    <t>1351</t>
  </si>
  <si>
    <t>Προμήθεα Απολυμαντικού υλικού</t>
  </si>
  <si>
    <t>1352</t>
  </si>
  <si>
    <t>Προμήθεια χημικού υλικού για πυροσβεστήρες</t>
  </si>
  <si>
    <t>138</t>
  </si>
  <si>
    <t>Είδη καθαριότητας και ευπρεπισμού</t>
  </si>
  <si>
    <t>1381</t>
  </si>
  <si>
    <t>Προμήθεια ειδών καθαριότητας και ευπρεπισμού</t>
  </si>
  <si>
    <t>14</t>
  </si>
  <si>
    <t>ΠΡΟΜΗΘΕΙΑ ΕΙΔΩΝ ΣΥΝΤ. ΚΑΙ ΕΠΙΣΚ. ΑΓΑΘΩΝ ΔΙΑΡΚ. ΧΡΗΣΗΣ</t>
  </si>
  <si>
    <t>141</t>
  </si>
  <si>
    <t>Τόκοι από καταθέσεις σε τράπεζες</t>
  </si>
  <si>
    <t xml:space="preserve"> ποσό που προβλέπουμε να εισπράξουμε από τόκους  και θα καλύψει λειτουργικές δαπάνες.</t>
  </si>
  <si>
    <t>Έσοδα υπέρ Μ.Τ.Π.Υ.</t>
  </si>
  <si>
    <t>Έσοδα υπέρ λοιπών Ν.Π.Δ.Δ. και αποκεντρωμένων Δημ.Υπηρεσιών.</t>
  </si>
  <si>
    <t>Προϊόν δωρεάς</t>
  </si>
  <si>
    <t>Βασικός μισθός τακτικών (μονίμων, αιρετών, μετακλητών με θητεία)</t>
  </si>
  <si>
    <t>Λοιπά ειδικά τακτικά επιδόματα</t>
  </si>
  <si>
    <t>Αποζημίωση για υπερωριακή εργασία</t>
  </si>
  <si>
    <t>Αποζημίωση Προέδρων Συλλογικών Οργάνων Διοίκησης</t>
  </si>
  <si>
    <t>Διάφορες αποζημιώσεις που δεν κατονομάζονται ειδικά</t>
  </si>
  <si>
    <t>Αμοιβές νομικών που εκτελούν ειδικές υπηρεσίες με την ιδιότητα ελεύθερου επαγγελματία</t>
  </si>
  <si>
    <t>Αμοιβές τεχνικών που εκτελούν ειδικές υπηρεσίες με την ιδιότητα του ελεύθερου επαγγελματία</t>
  </si>
  <si>
    <t>1899</t>
  </si>
  <si>
    <t>Διάφορες προμήθειες που δεν κατονομάζονται ειδικά</t>
  </si>
  <si>
    <t>ΠΛΗΡΩΜΕΣ ΑΝΤΙΚΡΥΖΟΜΕΝΕΣ ΑΠΟ ΠΡΑΓΜΑΤΟΠ/ΝΑ ΕΣΟΔΑ</t>
  </si>
  <si>
    <t>31</t>
  </si>
  <si>
    <t>33</t>
  </si>
  <si>
    <t>Ασφάλιστρα &amp; φύλακτρα ακινήτων, μεταφορικών μέσων, μηχανικού εξοπλισμού, επίπλων, χρεογράφων, ενεχύρων κ.λ.π.</t>
  </si>
  <si>
    <t xml:space="preserve"> για διάφορες δαπάνες που δεν συμπεριλαμβάνονται σε άλλους Κ.Α.</t>
  </si>
  <si>
    <t>Φόροι</t>
  </si>
  <si>
    <t>Προμήθεια σκευών μαγειρείων και εστίασης που δεν κατονομάζονται ειδικά.</t>
  </si>
  <si>
    <t xml:space="preserve"> για προμήθεια σκευών μαγειρείου και εστίασης.</t>
  </si>
  <si>
    <t>Προμήθεια γραφικής ύλης και μικροαντικειμένων γραφείου γενικά</t>
  </si>
  <si>
    <t xml:space="preserve"> για να καλύψει τις ανάγκες της διοικητικής υπηρεσίας του κέντρου και των άλλων τμημάτων του Κέντρου.</t>
  </si>
  <si>
    <t xml:space="preserve"> για την εξόφληση οφειλών χρήσεως 2009 που δεν πραγματοποιήθηκαν λόγω έλειψης χρημάτων.</t>
  </si>
  <si>
    <t>ΚΕΦΑΛΑΙΑΚΕΣ ΔΑΠΑΝΕΣ</t>
  </si>
  <si>
    <t>71</t>
  </si>
  <si>
    <t>ΠΡΟΜΗΘΕΙΕΣ ΑΓΑΘΩΝ ΔΙΑΡΚΟΥΣ ΧΡΗΣΗΣ</t>
  </si>
  <si>
    <t>711</t>
  </si>
  <si>
    <t>Προμήθεια επίπλων και ηλεκτρικών συσκευών</t>
  </si>
  <si>
    <t>7111</t>
  </si>
  <si>
    <t>Προμήθεια επίπλων και σκευών</t>
  </si>
  <si>
    <t>7112</t>
  </si>
  <si>
    <t>Προμήθεια ηλεκτρ. συσκ. και μηχανημάτων κλιματισμού γραφείων</t>
  </si>
  <si>
    <t>712</t>
  </si>
  <si>
    <t>Προμήθεια μηχανικού εξοπλισμού Υπηρεσιών</t>
  </si>
  <si>
    <t>Προμήθεια υπολογιστικών και λογιστικών μηχανών</t>
  </si>
  <si>
    <t>7123</t>
  </si>
  <si>
    <t>6.</t>
  </si>
  <si>
    <t>11.</t>
  </si>
  <si>
    <t>45.</t>
  </si>
  <si>
    <t>46.</t>
  </si>
  <si>
    <t xml:space="preserve"> για συντήρηση και επισκευή του λοιπού εξοπλισμού του Κέντρου.</t>
  </si>
  <si>
    <t>6. Οδηγοί          (2 άτομα,24x2=48 μετ.)</t>
  </si>
  <si>
    <t>0219</t>
  </si>
  <si>
    <t>Βασικός μισθός λοιπων υπαλλήλων και εργατών</t>
  </si>
  <si>
    <t>Νοσήλεια σε ιατρική περίθαλψη (Δημόσιο)</t>
  </si>
  <si>
    <t xml:space="preserve"> Η πίστωση θα εισπραχθεί από το Δημόσιο και θα καλύψει δαπάνες λειτουργίας.</t>
  </si>
  <si>
    <t>Νοσήλεια σε ιατρική περίθαλψη (ΟΓΑ)</t>
  </si>
  <si>
    <t xml:space="preserve"> Η πίστωση θα εισπραχθεί από τον ΟΓΑ και θα καλύψει δαπάνες λειτουργίας.</t>
  </si>
  <si>
    <t>Αμοιβές υγειονομ. που εκτελούν ειδικές υπηρεσίες με την ιδιότητα του ελεύθερου επαγγελματία</t>
  </si>
  <si>
    <t xml:space="preserve">Ταχυδρομικά Τέλη </t>
  </si>
  <si>
    <t xml:space="preserve"> για προμήθεια κλινοστρωμάτων .</t>
  </si>
  <si>
    <t xml:space="preserve"> προμήθεια υγειονομικού υλικού για τις ανάγκες του Κέντρου.</t>
  </si>
  <si>
    <t>Εγκύκλιο του Υπουργείου Υγείας  και Κοινωνικής Αλληλεγγύης (για εισηγητική έκθεση)</t>
  </si>
  <si>
    <t xml:space="preserve"> για πληρωμή λογαριασμών ύδρευσης.</t>
  </si>
  <si>
    <t>Προμήθεια κλινοστρωμάτων και ειδών κατασκήνωσης που δεν κατονομάζονται ειδικά</t>
  </si>
  <si>
    <t>Β)</t>
  </si>
  <si>
    <t>568</t>
  </si>
  <si>
    <t>5689</t>
  </si>
  <si>
    <t>Λοιπά Έσοδα που δεν κατονομάζονται ειδικά</t>
  </si>
  <si>
    <t>ΤΟΥ ΚΕΝΤΡΟΥ ΚΟΙΝΩΝΙΚΗΣ ΠΡΟΝΟΙΑΣ</t>
  </si>
  <si>
    <t>ΠΕΡΙΦΕΡΕΙΑΣ ΚΕΝΤΡΙΚΗΣ ΜΑΚΕΔΟΝΙΑΣ</t>
  </si>
  <si>
    <t>ΣΥΛΒΑΝΑ ΚΑΡΑΣΑΒΒΙΔΟΥ</t>
  </si>
  <si>
    <t>ΜΩΥΣΙΔΟΥ ΜΑΡΙΑ</t>
  </si>
  <si>
    <t>ΣΙΜΟΓΛΟΥ ΚΩΝΣΤΑΝΤΙΝΟΣ</t>
  </si>
  <si>
    <t>ΣΤΕΦΑΝΑΤΟΣ ΓΕΡΑΣΙΜΟΣ</t>
  </si>
  <si>
    <t>ΚΕΣΟΓΛΟΥ ΧΡΗΣΤΟΣ</t>
  </si>
  <si>
    <t>ΚΕΝΤΡΟΥ ΚΟΙΝΩΝΙΚΗΣ ΠΡΟΝΟΙΑΣ ΠΕΡΙΦΕΡΕΙΑΣ ΚΕΝΤΡΙΚΗΣ ΜΑΚΕΔΟΝΙΑΣ</t>
  </si>
  <si>
    <t>H ΠΡΟΕΔΡΟΣ ΤΟΥ Δ.Σ.</t>
  </si>
  <si>
    <t>H Δ/ΝΤΡΙΑ ΟΙΚΟΝ.ΥΠΗΡΕΣΙΩΝ</t>
  </si>
  <si>
    <t>Το Κέντρο έχει έξι τηλεφωνικά κέντρα, κάθε ένα σε κάθε από τα -6- παραρτήματά του. Επίσης το Κέντρο έχει την υποχρέωση να διατηρεί ηλεκτρονικό ταχυδρομείο στις περισσότερες υπηρεσίες του, καθώς επίσης και φαξ.</t>
  </si>
  <si>
    <t>Καταβολές για εφάπαξ αποζημίωση του Ν. 103/75</t>
  </si>
  <si>
    <t xml:space="preserve"> ποσό που προβλέπουμε να εισπράξουμε από κρατήσεις υπέρ Μ.Τ.Π.Υ. (προμηθευτές) γράφεται αντίστοιχα στα έξοδα.</t>
  </si>
  <si>
    <t xml:space="preserve"> ποσό που προβλέπουμε να εισπράξουμε από κρατήσεις υπέρ ΕΑΔΗΣΥ (προμηθευτές) (γράφεται αντίστοιχα στα έξοδα).</t>
  </si>
  <si>
    <t>Λοιπά έσοδα</t>
  </si>
  <si>
    <t>Έσοδα παρελθόντων ετών</t>
  </si>
  <si>
    <t xml:space="preserve"> η πίστωση αφορά νοσήλεια από τον ΕΟΠΥΥ παρελθόντων ετών.</t>
  </si>
  <si>
    <t xml:space="preserve"> για αποζημιώσεις των μελών του Δ.Σ.</t>
  </si>
  <si>
    <t>Αμοιβές ιδιωτικών γραφείων για την εκτέλεση μηχανογραφικών εργασιών.</t>
  </si>
  <si>
    <t xml:space="preserve"> για τη λογιστική υποστήριξη και παρακολούθηση των προγ/των του Κέντρου.</t>
  </si>
  <si>
    <t xml:space="preserve"> για  πληρωμή λογαριασμών ηλεκτρικού ρεύματος και αερίου.</t>
  </si>
  <si>
    <t>9000</t>
  </si>
  <si>
    <t>Έσοδα από επιχορηγήσεις για επενδύσεις</t>
  </si>
  <si>
    <t>0850.</t>
  </si>
  <si>
    <t>0815.</t>
  </si>
  <si>
    <t xml:space="preserve"> για μίσθωση (2) λεωφορείων για την εξυπηρέτηση δρομολογίων από και προς τα Παραρτήματα για εκπαιδευτικούς, ψυχαγωγικούς λόγους και για την κοινωνική ένταξη των περιθαλπομένων.</t>
  </si>
  <si>
    <t>0540</t>
  </si>
  <si>
    <t xml:space="preserve">Εκπαιδευτικές Δαπάνες </t>
  </si>
  <si>
    <t>ΓΕΩΡΓΙΑΔΗΣ ΝΙΚΟΛΑΟΣ</t>
  </si>
  <si>
    <t>0212-0219</t>
  </si>
  <si>
    <t>Ο Α' ΑΝΤΙ-ΠΡΟΕΔΡΟΣ</t>
  </si>
  <si>
    <t>ΥΠΟΥΡΓΕΙΟ ΕΡΓΑΣΙΑΣ ΚΟΙΝΩΝΙΚΗΣ ΑΣΦΑΛΙΣΗΣ ΚΑΙ ΚΟΙΝΩΝΙΚΗΣ ΑΛΛΗΛΕΓΓΥΗΣ</t>
  </si>
  <si>
    <t xml:space="preserve"> για διοργάνωση διάφορων εκδηλώσεων προώθησης του έργου του Κέντρου.</t>
  </si>
  <si>
    <t xml:space="preserve"> Για να πληρωθούν τα  έξοδα ενοικίων και κοινοχρήστων των κατοικιών ημιαυτόνομης διαβίωσης.</t>
  </si>
  <si>
    <t xml:space="preserve"> για συντήρηση και επισκευή των αυτοκινήτων του Κέντρου.</t>
  </si>
  <si>
    <t xml:space="preserve"> για πληρωμή φόρου εισοδήματος και φόρου ΕΝΦΙΑ του Κέντρου .</t>
  </si>
  <si>
    <t xml:space="preserve">  διότι λόγω παλαιότητας των κτιρίων του Κέντρου, γίνεται συχνή συντήρηση και επισκευή των μονίμων εγκαταστάσεων.</t>
  </si>
  <si>
    <t xml:space="preserve"> για  προμήθεια υγραερίου κίνησης για τα αυτοκίνητα τουΚέντρου.</t>
  </si>
  <si>
    <t>Απόδοση στην Ενιαία Αρχή Δημ. Συμβάσεων</t>
  </si>
  <si>
    <t xml:space="preserve"> για την συμπλήρωση του εξοπλισμού του Κέντρου ή αντικατάσταση του παλαιού.</t>
  </si>
  <si>
    <t xml:space="preserve"> για την  προμήθεια φωτοτυπικών μηχανημάτων.</t>
  </si>
  <si>
    <t xml:space="preserve"> για καταβολή εφάπαξ βοηθήματος  Ν.103/75 σε υπαλλήλους της Μονάδος που έχουν  συνταξιοδοτηθεί ή πρόκειται να συνταξιοδοτηθούν μέσα στο 2016.</t>
  </si>
  <si>
    <t>ΕΣΟΔΑ ΑΠΌ ΤΗΝ ΕΠΙΧΕΙΡΗΜΑΤΙΚΗ ΔΡΑΣΤΗΡ/ΤΑ ΤΟΥ Ν.Π.Δ.Δ.</t>
  </si>
  <si>
    <t>Ανεξόφλητες Υποχρεώσεις 2016</t>
  </si>
  <si>
    <t>ΟΙΚΟΝΟΜΟΥ ΜΙΛΤΙΑΔΗΣ</t>
  </si>
  <si>
    <t>Ο Β' ΑΝΤΙ-ΠΡΟΕΔΡΟΣ</t>
  </si>
  <si>
    <t>ΧΑΡΙΣΗΣ ΘΕΜΙΣΤΟΚΛΗΣ</t>
  </si>
  <si>
    <t>Θεσσαλονίκη, 7/12/2016</t>
  </si>
  <si>
    <t>42η/7-12-2016</t>
  </si>
  <si>
    <t>Προβλέψεις για το 2017</t>
  </si>
  <si>
    <t>Διαμόρφωση Προϋπολογισμού 2016</t>
  </si>
  <si>
    <t>Απολογιστικά έτους 2015</t>
  </si>
  <si>
    <t>Εκτίμηση Πραγμ/σεων έως 31-12-2016</t>
  </si>
  <si>
    <t>αριθ.πρωτ.οικ. 55815 / 2056 /  1-12-2016</t>
  </si>
  <si>
    <t>Π Ρ Ο Ϋ Π Ο Λ Ο Γ Ι Σ Μ Ο Σ     Ε Σ Ο Δ Ω Ν    ΚΕΝΤΡΟΥ ΚΟΙΝΩΝΙΚΗΣ ΠΡΟΝΟΙΑΣ ΠΕΡΙΦΕΡΕΙΑΣ ΚΕΝΤΡΙΚΗΣ ΜΑΚΕΔΟΝΙΑΣ 2017</t>
  </si>
  <si>
    <t>Προϋπολογισμός 2017</t>
  </si>
  <si>
    <t>Προυπ/σμός 2016 μετά τροποποιήσεων</t>
  </si>
  <si>
    <t>Εκτιμήσεις 2016</t>
  </si>
  <si>
    <t>Απολογιστικά 2015</t>
  </si>
  <si>
    <t>Π Ρ Ο Ϋ Π Ο Λ Ο Γ Ι Σ Μ Ο Σ    Ε Ξ Ο Δ Ω Ν   ΚΕΝΤΡΟΥ ΚΟΙΝΩΝΙΚΗΣ ΠΡΟΝΟΙΑΣ ΠΕΡΙΦΕΡΕΙΑΣ ΚΕΝΤΡΙΚΗΣ ΜΑΚΕΔΟΝΙΑΣ 2017</t>
  </si>
  <si>
    <t>Προυπ/σμός 2016  μετά τροποποιήσεων</t>
  </si>
  <si>
    <t xml:space="preserve">  Ύστερα από το με αριθμό οικ. 55815/2056/1-12-2016 έγγραφο  του Υπουργείου Εργασίας  καταρτίσαμε  τον προυπολογισμό του Κέντρου οικ. Έτους 2017  αφού λάβαμε υπόψη τις ανάγκες των μονάδων που  συγχωνεύτηκαν.Προσπαθήσαμε με κάθε δυνατή προσέγγιση ωστε τα ποσά που αναγράφονται στούς διάφορους Κ.Α.Ε.του προϋπολογισμού να είναι επαρκή λαμβάνοντας υπόψη τις πλέον απαραίτητες ανάγκες λειτουργίας του Κέντρου.</t>
  </si>
  <si>
    <t>Λοιπά έσοδα από προσφορά υπηρεσιών εκπαίδευσης</t>
  </si>
  <si>
    <t>Έσοδα υπέρ Ανεξάρτητων Αρχών</t>
  </si>
  <si>
    <t xml:space="preserve"> ποσό που προβλέπουμε να εισπράξουμε από την κρατική επιχορήγηση.</t>
  </si>
  <si>
    <t>Εσοδα από εκμίσθωση ακινήτων γενικά</t>
  </si>
  <si>
    <t>Έσοδα από το Κρατικό Λαχείο</t>
  </si>
  <si>
    <t xml:space="preserve"> που αφορά σε καταβολές υπαλλήλων για εξαγορά χρόνου υπηρεσίας για το εφάπαξ του Ν. 103/75.</t>
  </si>
  <si>
    <t xml:space="preserve"> ΄Εσοδα υπέρ του Δημοσίου</t>
  </si>
  <si>
    <t xml:space="preserve"> αφορά τους 24ο, 25ο και 26ο λογαριασμούς εργασιών του έργου "Ανέγερση Νέου Γηροκομείου Κιλκίς".</t>
  </si>
  <si>
    <t xml:space="preserve"> ποσό που προβλέπουμε να εισπράξουμε από κρατήσεις υπέρ του Δημοσίου, γράφεται αντίστοιχα στα έξοδα.</t>
  </si>
  <si>
    <t>Μεταφορά περιθαλπομένων</t>
  </si>
  <si>
    <t>Αποδόσεις σε Ανεξάρτητες Αρχές</t>
  </si>
  <si>
    <t>ΚΑΤΗΓΟΡΙΑ ΙΙΙ (7)</t>
  </si>
  <si>
    <t>ΤΑΜΕΙΑΚΟ ΥΠΟΛΟΙΠΟ ΕΤΟΥΣ 2015</t>
  </si>
  <si>
    <t>Η ανώτερη μηνιαία δαπάνη ανέρχεται στο ποσό των 3.000,00€ όπότε η συνολική ετήσια δαπάνη υπολογίζεται στα 35.000,00 €</t>
  </si>
  <si>
    <t>ΣΥΝΟΛΟ Κ.Α 0832 = 35.000,00 €</t>
  </si>
  <si>
    <t>ΣΥΝΟΛΟ Κ.Α 0721 = 2.000,00 €</t>
  </si>
  <si>
    <t>ΣΥΝΟΛΟ Κ.Α 0711 = 3.000,00 €</t>
  </si>
  <si>
    <t xml:space="preserve"> για το συνεργείο καθαριότητας και φύλαξης του Κέντρου.</t>
  </si>
  <si>
    <t xml:space="preserve"> για συμμετοχή υπ/λων σε συνέδρια , ημερίδες και εκπαιδευτικά προγράμματα.</t>
  </si>
  <si>
    <t>Λοιπές αμοιβές ν.π.</t>
  </si>
  <si>
    <t xml:space="preserve"> για την αμοιβή της εταιρίας εστίασης του Κέντρου.</t>
  </si>
  <si>
    <t xml:space="preserve"> για αγορά γραμματοσήμων κ.λ.π. και αμοιβή εταιρίας κούριερ.</t>
  </si>
  <si>
    <t>Εκκένωση βόθρων</t>
  </si>
  <si>
    <t xml:space="preserve"> για αμοιβή  συνεργείου εκκένωσης βόθρων.</t>
  </si>
  <si>
    <t>Πρόσθετη περίθαλψη</t>
  </si>
  <si>
    <t xml:space="preserve"> για αμοιβή αποκλειστικών αδελφών κατά τη διάρκεια νοσηλείας των περιθαλπομένων μας σε νοσοκομεία.</t>
  </si>
  <si>
    <t xml:space="preserve"> για συντήρηση των ανελκυστήρων, ηλεκτρολογικών  εγκαταστάσεων, καυστήρων του Κέντρου καθώς και λοιπές εργασίες συντήρησης εγκαταστάσεων.</t>
  </si>
  <si>
    <t xml:space="preserve"> για πληρωμή των ασφάλιστρων και των τελών κυκλοφορίας των αυτοκινήτων του Κέντρου μας.</t>
  </si>
  <si>
    <t>0887-0889</t>
  </si>
  <si>
    <t xml:space="preserve"> για παιχνίδια κλπ εκπαιδευτικό υλικό</t>
  </si>
  <si>
    <t xml:space="preserve"> για προμήθεια Η/Υ και περιφερειακών τους.</t>
  </si>
  <si>
    <t xml:space="preserve"> έχει εγγραφεί ποσό 282.000 ευρώ που αφορά την πληρωμή των 24ου, 25ου και 26ου λογαριασμού εργασιών του έργου ΑΝΕΓΕΡΣΗ ΓΗΡΟΚΟΜΕΙΟΥ ΚΙΛΚΙΣ μέσω του ΠΔΕ, ποσό 90.000 ευρώ για την προμήθεια ξενοδοχ. εξοπλισμού για -3- ΣΥΔ στο παράρτημα Σερρών (λαχείο) και ποσό 60.000 ευρώ για  εκτέλεση εργασιών συντήρησης του παλαιού κτιρίου του παρ. Σερρών και εργασιών αφύγρανσης του χώρου των πλυντηρίων του παρ. ΘΧΠ (λαχείο).</t>
  </si>
  <si>
    <t xml:space="preserve"> για εργασίες διαφόρων ειδικοτήτων τεχνικών για την εκτέλεση κάποιου έργου στο Κέντρο.</t>
  </si>
  <si>
    <t xml:space="preserve"> για αμοιβή 40 ατόμων επικουρικού προσωπικού καθώς και αμοιβή μαθητών ΟΑΕΔ - σπουδαστών ΤΕΙ.</t>
  </si>
  <si>
    <t xml:space="preserve"> για τη μίσθωση ταχυδρομικής Θυρίδας στο Παράρτημα Σερρών.</t>
  </si>
  <si>
    <t xml:space="preserve"> για αλλαγή των ελαστικών των αυτοκινήτων του Κέντρου.</t>
  </si>
  <si>
    <t xml:space="preserve"> για προμήθεια υγρών καυσίμων (πετρέλαιο θέρμανσης σε όσα παραρτήματα δεν έχουν αέριο ακόμη και πετρέλαιο κίνησης ή βενζίνη για τα αυτοκίνητα) για τις ανάγκες του Κέντρου.</t>
  </si>
  <si>
    <t xml:space="preserve"> για προμήθεια ηλεκτρικών συσκευών και κλιματιστικών , αλλά και προϋπολογίστηκε ποσό 125.000 ευρώ για προμήθεια -3- επαγγελματικών πλυντηρίων και ποσό 35.000 ευρώ για επαγγελματικό επιδαπέδιο φούρνο (λαχείο) για το παράρτημα ΘΧΠ.</t>
  </si>
  <si>
    <t>ΑΝΕΞ. ΥΠΟΧΡ. 2016</t>
  </si>
  <si>
    <t>ΟΙΚΟΝΟΜΙΚΟ ΑΠΟΤΕΛΕΣΜΑ</t>
  </si>
  <si>
    <t>17.</t>
  </si>
  <si>
    <t>18.</t>
  </si>
  <si>
    <t>19.</t>
  </si>
  <si>
    <t>20.</t>
  </si>
  <si>
    <t>21.</t>
  </si>
  <si>
    <t>22.</t>
  </si>
  <si>
    <t>23.</t>
  </si>
  <si>
    <t>24.</t>
  </si>
  <si>
    <t>25.</t>
  </si>
  <si>
    <t>26.</t>
  </si>
  <si>
    <t>27.</t>
  </si>
  <si>
    <t>28.</t>
  </si>
  <si>
    <t>29.</t>
  </si>
  <si>
    <t>30.</t>
  </si>
  <si>
    <t>31.</t>
  </si>
  <si>
    <t>32.</t>
  </si>
  <si>
    <t xml:space="preserve"> για προμήθεια τροφίμων για τη σίτιση των περιθαλπομένων του Κέντρου.   Ο ΚΑΕ παρουσιάζει αύξηση, διότι το Κέντρο έχει ιδρύσει υπό την αιγίδα του Υπ. Εργασίας και σε συνεργασία με τα Παιδικά Χωριά SOS δύο δομές φιλοξενίας ασυνόδευτων ανηλίκων προσφύγων για 40 άτομα. </t>
  </si>
  <si>
    <t xml:space="preserve"> για αγορά παπουτσιών για τους περιθαλπόμενους του Κέντρου και παπούτσια εργασίας για το προσωπικό όπου προβλέπεται.</t>
  </si>
  <si>
    <t xml:space="preserve"> για αγορά ρούχων, εσωρούχων κ.λ.π για τους περιθαλπόμενους του Κέντρου, αλλά και στολών εργασίας για το προσωπικό.</t>
  </si>
  <si>
    <t>2119</t>
  </si>
  <si>
    <t>Λοιπές επιδοτήσεις</t>
  </si>
  <si>
    <t xml:space="preserve"> για τη χορήγηση επιδόματος αναδοχής σε αναδόχους γονείς, που αναλαμβάνουν τη φροντίδα περιθαλπομένων του Κέντρου.  Το Κέντρο εφαρμόζει πιλοτικό πρόγραμμα αναδοχής με βάση το ΠΔ 86/2009 (ΦΕΚ 114Α).</t>
  </si>
  <si>
    <t>ΠΛΗΡΩΜΕΣ ΓΙΑ ΜΕΤΑΒΙΒΑΣΗ ΕΙΣΟΔΗΜΑΤΩΝ ΣΕ ΤΡΙΤΟΥΣ</t>
  </si>
  <si>
    <t>ΕΠΙΔΟΤΗΣΕΙΣ</t>
  </si>
  <si>
    <t>211</t>
  </si>
  <si>
    <t>ΕΙΠΙΔΟΤΗΣΕΙΣ</t>
  </si>
  <si>
    <t>Λοιπές Επιδοτήσεις</t>
  </si>
  <si>
    <t>056</t>
  </si>
  <si>
    <t>0561</t>
  </si>
  <si>
    <t>Εργοδοτικές εισφορές για την κοινωνική ασφάλιση (συνέχεια)</t>
  </si>
  <si>
    <t>Εισφορές στον ΕΦΚΑ για μισθωτούς που διορίστηκαν από την 1/1/2011 και μετά</t>
  </si>
  <si>
    <t>Εισφορές στον ΕΦΚΑ</t>
  </si>
  <si>
    <t xml:space="preserve">  για εισφορές εργοδότου υπέρ του ΕΦΚΑ για τους ΙΔΟΧ υπαλλήλους που διορίστηκαν από 1/1/2011 και μετά.</t>
  </si>
  <si>
    <t>5299</t>
  </si>
  <si>
    <t>3399</t>
  </si>
  <si>
    <t>Νοσήλεια από ιατρική περίθαλψη (ΕΟΠΥΥ)</t>
  </si>
  <si>
    <t xml:space="preserve"> ποσό που προβλέπουμε ότι θα εισπράξουμε από τον ΟΑΕΔ για την απασχόληση μαθητών ΟΑΕΔ στο Κέντρο (πρακτική άσκηση).  Το έτος 2016 η είσπραξη για 40 περίπου μαθητές κυμάνθηκε στις 109.000 ευρώ.</t>
  </si>
  <si>
    <t xml:space="preserve"> Η πίστωση θα εισπραχθεί από το κρατικό λαχείο (είναι ή ίδια με το περσινό εγκεκριμένο επίπεδο).</t>
  </si>
  <si>
    <t xml:space="preserve"> Η πίστωση θα εισπραχθεί από την εκμίσθωση των ιδιόκτητων ακινήτων του Κέντρου.  Ήδη το 2016 έχουν εισπραχθεί 176.000 ευρώ λόγω της μεγάλης προσπάθειας του Κέντρου για εύρεση εσόδων. Έχει ενοικιαστεί η πλειονότητα των ακινήτων του Κέντρου και όσα ήταν ήδη ενοικιασμένα, γίνονται συντονισμένες ενέργειες για την έγκαιρη καταβολή των μισθωμάτων ακόμα και μέσω δικηγόρων.</t>
  </si>
  <si>
    <t xml:space="preserve"> Η πίστωση θα εισπραχθεί κυρίως από τον ΟΓΑ , ως επιστροφή εξόδων κηδείας των περιθαλπομένων του Κέντρου ή και από άλλες διάφορες πηγές και ήδη το 2016 κυμάνθηκε στο επίπεδο των 25.000 ευρώ.</t>
  </si>
  <si>
    <t xml:space="preserve"> Η πίστωση θα εισπραχθεί από τον ΕΟΠΥΥ και θα καλύψει δαπάνες λειτουργίας.  Ας σημειωθεί ότι για κάθε μήνα, ο ΕΟΠΥΥ οφείλει στο Κέντρο μας το ποσό των 400.000 ευρώ περίπου (12χ 400.000 = 4.800.000)</t>
  </si>
  <si>
    <t xml:space="preserve"> για πληρωμή ιατρών διαφόρων ειδικοτήτων που απασχολούνται στο Κέντρο, διότι το Κέντρο δεν διαθέτει καθόλου μόνιμους ιατρούς, οπότε αναγκάζεται να απασχολεί ιατρούς με αμοιβή κατ' επίσκεψη δημοσίου, και ειδικώτερα 20 ιατρούς διαφόρων ειδικοτήτων (παιδίατρος, παιδοψυχίατρος, παθολόγοι, νευρολόγοι, οδοντίατροι, ορθοπεδικός, καρδιολόγος, ουρολόγοι, ψυχίατροι, κλπ.</t>
  </si>
  <si>
    <t>Αμοιβές λοιπών φυσικών προσώπων για ειδικές υπηρεσίες</t>
  </si>
  <si>
    <t xml:space="preserve"> για αγορά φαρμάκων  για τους περιθαλπόμενους του Κέντρου .  Ήδη το 2016 η δαπάνη έχει ανέλθει στο ποσό των 285.000 ευρώ.  Το Κέντρο περιθάλπει 700 περιθαλπόμενους με βαριές/πολλαπλές αναπηρίες, κατάκοιτους, ηλικιωμένους, χρόνια πάσχοντες, καρκινοπαθείς κλπ.  Το 2015 από λάθος του λογιστηρίου δεν είχαν προωθηθεί προς πληρωμή τιμολόγια φαρμάκων πολλών μηνών, με αποτέλεσμα να εμφανίζει ο ΚΑΕ μικρό ύψος.  Τα τιμολόγια πληρώθηκαν όλα μέσα στο 2016, το οποίο θα αποτυπωθεί στον σχετικό απολογισμό 2016.</t>
  </si>
  <si>
    <t xml:space="preserve"> για πληρωμή της απασχόλησης διαφόρων θεραπευτών στο Κέντρο για τις ανάγκες των περιθαλπομένων, καθότι δεν υπηρετούν μόνιμοι διορισμένοι ψυχολόγοι, χοροθεραπευτές, μουσικοθεραπευτές, λογοθεραπευτές, αλλά και για την απασχόληση κουρέων, διότι δεν διατίθενται πλέον από τον ΟΑΕΔ.   Τα άτομα πληρώνονται με απόδειξη παροχής υπηρεσιών με αμοιβή κατ' επίσκεψη του δημοσίου.  Απασχολούνται 4 ψυχολόγοι, 1 χορ/τρια, 2 λογ/τές, 3 κουρείς και 1 μουσικός.</t>
  </si>
  <si>
    <t xml:space="preserve"> ποσό 20.000 ευρώ που προβλέπεται να εισπραχθεί από δωρεές ιδιωτών και θα καλύψει λειτουργικές δαπάνες.  Επίσης προβλέπεται ότι θα εισπραχθεί ποσό 280.000 ευρώ από τις εισφορές σε μορφή δωρεάς των περιθαλπόμενων ως συμμετοχή στις δαπάνες περίθαλψης.   Πολλοί εκ των περιθαλπομένων συνεχίζουν να καταβάλουν εθελοντικά μέρος της σύνταξής τους, που οι ίδιοι επιθυμούν, στο ταμείο του Κέντρου, ώστε να χρησιμοποιηθεί αυτό για την κάλυψη των προσωπικών τους αναγκών.</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</si>
</sst>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dd/mm/yy"/>
    <numFmt numFmtId="181" formatCode="#,##0.00_ ;\-#,##0.00\ "/>
    <numFmt numFmtId="182" formatCode="_-* #,##0.00\ [$€]_-;\-* #,##0.00\ [$€]_-;_-* &quot;-&quot;??\ [$€]_-;_-@_-"/>
    <numFmt numFmtId="183" formatCode="#,##0\ [$€-1];[Red]\-#,##0\ [$€-1]"/>
    <numFmt numFmtId="184" formatCode="#,##0.00\ [$€-1]"/>
    <numFmt numFmtId="185" formatCode="0.0"/>
    <numFmt numFmtId="186" formatCode="[$-408]dddd\,\ d\ mmmm\ yyyy"/>
    <numFmt numFmtId="187" formatCode="00000"/>
    <numFmt numFmtId="188" formatCode="#,##0.00\ _€"/>
    <numFmt numFmtId="189" formatCode="&quot;Ναι&quot;;&quot;Ναι&quot;;&quot;'Οχι&quot;"/>
    <numFmt numFmtId="190" formatCode="&quot;Αληθές&quot;;&quot;Αληθές&quot;;&quot;Ψευδές&quot;"/>
    <numFmt numFmtId="191" formatCode="&quot;Ενεργοποίηση&quot;;&quot;Ενεργοποίηση&quot;;&quot;Απενεργοποίηση&quot;"/>
    <numFmt numFmtId="192" formatCode="[$€-2]\ #,##0.00_);[Red]\([$€-2]\ #,##0.00\)"/>
    <numFmt numFmtId="193" formatCode="&quot;Ναι&quot;;&quot;Ναι&quot;;&quot;Όχι&quot;"/>
    <numFmt numFmtId="194" formatCode="&quot;Ενεργό&quot;;&quot;Ενεργό&quot;;&quot;Ανενεργό&quot;"/>
  </numFmts>
  <fonts count="61">
    <font>
      <sz val="10"/>
      <name val="Arial Greek"/>
      <family val="0"/>
    </font>
    <font>
      <u val="single"/>
      <sz val="10"/>
      <color indexed="36"/>
      <name val="Arial Greek"/>
      <family val="0"/>
    </font>
    <font>
      <u val="single"/>
      <sz val="10"/>
      <color indexed="12"/>
      <name val="Arial Greek"/>
      <family val="0"/>
    </font>
    <font>
      <sz val="8"/>
      <name val="Arial Greek"/>
      <family val="0"/>
    </font>
    <font>
      <b/>
      <sz val="8"/>
      <name val="Arial Greek"/>
      <family val="2"/>
    </font>
    <font>
      <b/>
      <sz val="10"/>
      <name val="Arial Greek"/>
      <family val="2"/>
    </font>
    <font>
      <b/>
      <sz val="8"/>
      <name val="Tahoma"/>
      <family val="2"/>
    </font>
    <font>
      <b/>
      <sz val="6"/>
      <name val="Arial Greek"/>
      <family val="2"/>
    </font>
    <font>
      <b/>
      <sz val="12"/>
      <name val="Arial Greek"/>
      <family val="2"/>
    </font>
    <font>
      <sz val="10"/>
      <name val="Arial"/>
      <family val="2"/>
    </font>
    <font>
      <b/>
      <sz val="10"/>
      <name val="Arial"/>
      <family val="2"/>
    </font>
    <font>
      <sz val="14"/>
      <name val="Times New Roman"/>
      <family val="1"/>
    </font>
    <font>
      <sz val="12"/>
      <name val="Times New Roman"/>
      <family val="1"/>
    </font>
    <font>
      <sz val="10"/>
      <name val="Times New Roman"/>
      <family val="1"/>
    </font>
    <font>
      <sz val="9"/>
      <name val="Times New Roman"/>
      <family val="1"/>
    </font>
    <font>
      <b/>
      <sz val="10"/>
      <name val="Times New Roman"/>
      <family val="1"/>
    </font>
    <font>
      <b/>
      <u val="single"/>
      <sz val="10"/>
      <name val="Times New Roman"/>
      <family val="1"/>
    </font>
    <font>
      <b/>
      <sz val="12"/>
      <name val="Times New Roman"/>
      <family val="1"/>
    </font>
    <font>
      <sz val="10"/>
      <color indexed="63"/>
      <name val="Arial"/>
      <family val="2"/>
    </font>
    <font>
      <b/>
      <u val="single"/>
      <sz val="10"/>
      <name val="Arial"/>
      <family val="2"/>
    </font>
    <font>
      <b/>
      <u val="single"/>
      <sz val="14"/>
      <name val="Times New Roman"/>
      <family val="1"/>
    </font>
    <font>
      <b/>
      <u val="single"/>
      <sz val="12"/>
      <name val="Times New Roman"/>
      <family val="1"/>
    </font>
    <font>
      <b/>
      <sz val="10"/>
      <color indexed="10"/>
      <name val="Times New Roman"/>
      <family val="1"/>
    </font>
    <font>
      <sz val="8"/>
      <name val="Times New Roman"/>
      <family val="1"/>
    </font>
    <font>
      <b/>
      <sz val="9"/>
      <name val="Times New Roman"/>
      <family val="1"/>
    </font>
    <font>
      <b/>
      <sz val="18"/>
      <name val="Verdan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indexed="8"/>
      <name val="Arial Greek"/>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35"/>
        <bgColor indexed="64"/>
      </patternFill>
    </fill>
    <fill>
      <patternFill patternType="solid">
        <fgColor indexed="4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82" fontId="0" fillId="0" borderId="0" applyFont="0" applyFill="0" applyBorder="0" applyAlignment="0" applyProtection="0"/>
    <xf numFmtId="0" fontId="46" fillId="20" borderId="1" applyNumberFormat="0" applyAlignment="0" applyProtection="0"/>
    <xf numFmtId="0" fontId="47" fillId="21" borderId="2"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32" borderId="7" applyNumberFormat="0" applyFont="0" applyAlignment="0" applyProtection="0"/>
    <xf numFmtId="0" fontId="57" fillId="0" borderId="8"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0" fillId="28" borderId="1" applyNumberFormat="0" applyAlignment="0" applyProtection="0"/>
  </cellStyleXfs>
  <cellXfs count="250">
    <xf numFmtId="0" fontId="0" fillId="0" borderId="0" xfId="0" applyAlignment="1">
      <alignment/>
    </xf>
    <xf numFmtId="0" fontId="4" fillId="33" borderId="0" xfId="0" applyFont="1" applyFill="1" applyBorder="1" applyAlignment="1" applyProtection="1">
      <alignment/>
      <protection/>
    </xf>
    <xf numFmtId="0" fontId="5" fillId="33" borderId="0" xfId="0" applyFont="1" applyFill="1" applyBorder="1" applyAlignment="1" applyProtection="1">
      <alignment/>
      <protection/>
    </xf>
    <xf numFmtId="0" fontId="5"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Border="1" applyAlignment="1" applyProtection="1">
      <alignment horizontal="center"/>
      <protection/>
    </xf>
    <xf numFmtId="4" fontId="3" fillId="33" borderId="0" xfId="0" applyNumberFormat="1" applyFont="1" applyFill="1" applyAlignment="1" applyProtection="1">
      <alignment/>
      <protection/>
    </xf>
    <xf numFmtId="0" fontId="4" fillId="33" borderId="0" xfId="0" applyFont="1" applyFill="1" applyAlignment="1" applyProtection="1">
      <alignment/>
      <protection/>
    </xf>
    <xf numFmtId="0" fontId="0" fillId="33" borderId="0" xfId="0" applyFill="1" applyAlignment="1" applyProtection="1">
      <alignment/>
      <protection/>
    </xf>
    <xf numFmtId="0" fontId="4" fillId="0" borderId="0" xfId="0" applyFont="1" applyFill="1" applyAlignment="1" applyProtection="1">
      <alignment/>
      <protection/>
    </xf>
    <xf numFmtId="0" fontId="0" fillId="0" borderId="0" xfId="0" applyFill="1" applyAlignment="1" applyProtection="1">
      <alignment/>
      <protection/>
    </xf>
    <xf numFmtId="0" fontId="4" fillId="34" borderId="10" xfId="0" applyFont="1" applyFill="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4" fontId="4" fillId="0" borderId="11" xfId="0" applyNumberFormat="1" applyFont="1" applyBorder="1" applyAlignment="1" applyProtection="1">
      <alignment horizontal="center" vertical="center" wrapText="1"/>
      <protection/>
    </xf>
    <xf numFmtId="0" fontId="3" fillId="35" borderId="12" xfId="0" applyFont="1" applyFill="1" applyBorder="1" applyAlignment="1" applyProtection="1">
      <alignment/>
      <protection/>
    </xf>
    <xf numFmtId="49" fontId="3" fillId="35" borderId="13" xfId="0" applyNumberFormat="1" applyFont="1" applyFill="1" applyBorder="1" applyAlignment="1" applyProtection="1">
      <alignment/>
      <protection/>
    </xf>
    <xf numFmtId="0" fontId="3" fillId="35" borderId="13" xfId="0" applyFont="1" applyFill="1" applyBorder="1" applyAlignment="1" applyProtection="1">
      <alignment/>
      <protection/>
    </xf>
    <xf numFmtId="0" fontId="4" fillId="35" borderId="13" xfId="0" applyFont="1" applyFill="1" applyBorder="1" applyAlignment="1" applyProtection="1">
      <alignment horizontal="center"/>
      <protection/>
    </xf>
    <xf numFmtId="4" fontId="4" fillId="35" borderId="13" xfId="0" applyNumberFormat="1" applyFont="1" applyFill="1" applyBorder="1" applyAlignment="1" applyProtection="1">
      <alignment/>
      <protection/>
    </xf>
    <xf numFmtId="4" fontId="3" fillId="35" borderId="13" xfId="0" applyNumberFormat="1" applyFont="1" applyFill="1" applyBorder="1" applyAlignment="1" applyProtection="1">
      <alignment horizontal="center"/>
      <protection/>
    </xf>
    <xf numFmtId="0" fontId="0" fillId="0" borderId="0" xfId="0" applyFont="1" applyAlignment="1">
      <alignment/>
    </xf>
    <xf numFmtId="0" fontId="3" fillId="36" borderId="12" xfId="0" applyFont="1" applyFill="1" applyBorder="1" applyAlignment="1" applyProtection="1">
      <alignment/>
      <protection/>
    </xf>
    <xf numFmtId="49" fontId="3" fillId="36" borderId="13" xfId="0" applyNumberFormat="1" applyFont="1" applyFill="1" applyBorder="1" applyAlignment="1" applyProtection="1">
      <alignment/>
      <protection/>
    </xf>
    <xf numFmtId="0" fontId="3" fillId="36" borderId="13" xfId="0" applyFont="1" applyFill="1" applyBorder="1" applyAlignment="1" applyProtection="1">
      <alignment/>
      <protection/>
    </xf>
    <xf numFmtId="0" fontId="4" fillId="36" borderId="13" xfId="0" applyFont="1" applyFill="1" applyBorder="1" applyAlignment="1" applyProtection="1">
      <alignment/>
      <protection/>
    </xf>
    <xf numFmtId="4" fontId="3" fillId="36" borderId="13" xfId="0" applyNumberFormat="1" applyFont="1" applyFill="1" applyBorder="1" applyAlignment="1" applyProtection="1">
      <alignment/>
      <protection/>
    </xf>
    <xf numFmtId="0" fontId="3" fillId="37" borderId="12" xfId="0" applyFont="1" applyFill="1" applyBorder="1" applyAlignment="1" applyProtection="1">
      <alignment/>
      <protection/>
    </xf>
    <xf numFmtId="49" fontId="3" fillId="37" borderId="13" xfId="0" applyNumberFormat="1" applyFont="1" applyFill="1" applyBorder="1" applyAlignment="1" applyProtection="1">
      <alignment/>
      <protection/>
    </xf>
    <xf numFmtId="0" fontId="3" fillId="37" borderId="13" xfId="0" applyFont="1" applyFill="1" applyBorder="1" applyAlignment="1" applyProtection="1">
      <alignment/>
      <protection/>
    </xf>
    <xf numFmtId="0" fontId="4" fillId="37" borderId="13" xfId="0" applyFont="1" applyFill="1" applyBorder="1" applyAlignment="1" applyProtection="1">
      <alignment/>
      <protection/>
    </xf>
    <xf numFmtId="4" fontId="3" fillId="37" borderId="13" xfId="0" applyNumberFormat="1" applyFont="1" applyFill="1" applyBorder="1" applyAlignment="1" applyProtection="1">
      <alignment/>
      <protection/>
    </xf>
    <xf numFmtId="0" fontId="3" fillId="33" borderId="12" xfId="0" applyFont="1" applyFill="1" applyBorder="1" applyAlignment="1" applyProtection="1">
      <alignment/>
      <protection/>
    </xf>
    <xf numFmtId="49" fontId="3" fillId="33" borderId="13" xfId="0" applyNumberFormat="1" applyFont="1" applyFill="1" applyBorder="1" applyAlignment="1" applyProtection="1">
      <alignment/>
      <protection/>
    </xf>
    <xf numFmtId="0" fontId="3" fillId="33" borderId="13" xfId="0" applyFont="1" applyFill="1" applyBorder="1" applyAlignment="1" applyProtection="1">
      <alignment/>
      <protection/>
    </xf>
    <xf numFmtId="4" fontId="3" fillId="33" borderId="13" xfId="0" applyNumberFormat="1" applyFont="1" applyFill="1" applyBorder="1" applyAlignment="1" applyProtection="1">
      <alignment/>
      <protection locked="0"/>
    </xf>
    <xf numFmtId="0" fontId="3" fillId="0" borderId="12" xfId="0" applyFont="1" applyFill="1" applyBorder="1" applyAlignment="1" applyProtection="1">
      <alignment/>
      <protection/>
    </xf>
    <xf numFmtId="49" fontId="3" fillId="0" borderId="13" xfId="0" applyNumberFormat="1" applyFont="1" applyFill="1" applyBorder="1" applyAlignment="1" applyProtection="1">
      <alignment/>
      <protection/>
    </xf>
    <xf numFmtId="0" fontId="3" fillId="0" borderId="13" xfId="0" applyFont="1" applyFill="1" applyBorder="1" applyAlignment="1" applyProtection="1">
      <alignment/>
      <protection/>
    </xf>
    <xf numFmtId="4" fontId="3" fillId="0" borderId="13" xfId="0" applyNumberFormat="1" applyFont="1" applyFill="1" applyBorder="1" applyAlignment="1" applyProtection="1">
      <alignment/>
      <protection/>
    </xf>
    <xf numFmtId="0" fontId="3" fillId="0" borderId="12" xfId="0" applyFont="1" applyBorder="1" applyAlignment="1" applyProtection="1">
      <alignment/>
      <protection/>
    </xf>
    <xf numFmtId="49" fontId="3" fillId="0" borderId="13" xfId="0" applyNumberFormat="1" applyFont="1" applyBorder="1" applyAlignment="1" applyProtection="1">
      <alignment/>
      <protection/>
    </xf>
    <xf numFmtId="0" fontId="3" fillId="0" borderId="13" xfId="0" applyFont="1" applyBorder="1" applyAlignment="1" applyProtection="1">
      <alignment/>
      <protection/>
    </xf>
    <xf numFmtId="0" fontId="3" fillId="38" borderId="12" xfId="0" applyFont="1" applyFill="1" applyBorder="1" applyAlignment="1" applyProtection="1">
      <alignment/>
      <protection/>
    </xf>
    <xf numFmtId="49" fontId="3" fillId="38" borderId="13" xfId="0" applyNumberFormat="1" applyFont="1" applyFill="1" applyBorder="1" applyAlignment="1" applyProtection="1">
      <alignment/>
      <protection/>
    </xf>
    <xf numFmtId="0" fontId="3" fillId="38" borderId="13" xfId="0" applyFont="1" applyFill="1" applyBorder="1" applyAlignment="1" applyProtection="1">
      <alignment/>
      <protection/>
    </xf>
    <xf numFmtId="4" fontId="3" fillId="38" borderId="13" xfId="0" applyNumberFormat="1" applyFont="1" applyFill="1" applyBorder="1" applyAlignment="1" applyProtection="1">
      <alignment/>
      <protection/>
    </xf>
    <xf numFmtId="4" fontId="3" fillId="33" borderId="13" xfId="0" applyNumberFormat="1" applyFont="1" applyFill="1" applyBorder="1" applyAlignment="1" applyProtection="1">
      <alignment/>
      <protection/>
    </xf>
    <xf numFmtId="0" fontId="3" fillId="0" borderId="13" xfId="0" applyFont="1" applyFill="1" applyBorder="1" applyAlignment="1" applyProtection="1">
      <alignment/>
      <protection/>
    </xf>
    <xf numFmtId="4" fontId="3" fillId="37" borderId="13" xfId="0" applyNumberFormat="1" applyFont="1" applyFill="1" applyBorder="1" applyAlignment="1" applyProtection="1">
      <alignment/>
      <protection locked="0"/>
    </xf>
    <xf numFmtId="0" fontId="0" fillId="33" borderId="0" xfId="0" applyFill="1" applyAlignment="1">
      <alignment/>
    </xf>
    <xf numFmtId="0" fontId="4" fillId="35" borderId="13" xfId="0" applyFont="1" applyFill="1" applyBorder="1" applyAlignment="1" applyProtection="1">
      <alignment/>
      <protection/>
    </xf>
    <xf numFmtId="4" fontId="3" fillId="35" borderId="13" xfId="0" applyNumberFormat="1" applyFont="1" applyFill="1" applyBorder="1" applyAlignment="1" applyProtection="1">
      <alignment/>
      <protection/>
    </xf>
    <xf numFmtId="4" fontId="3" fillId="0" borderId="13" xfId="0" applyNumberFormat="1" applyFont="1" applyFill="1" applyBorder="1" applyAlignment="1" applyProtection="1">
      <alignment/>
      <protection locked="0"/>
    </xf>
    <xf numFmtId="0" fontId="3" fillId="0" borderId="14" xfId="0" applyFont="1" applyBorder="1" applyAlignment="1" applyProtection="1">
      <alignment/>
      <protection/>
    </xf>
    <xf numFmtId="0" fontId="3" fillId="0" borderId="15" xfId="0" applyFont="1" applyBorder="1" applyAlignment="1" applyProtection="1">
      <alignment/>
      <protection/>
    </xf>
    <xf numFmtId="49" fontId="3" fillId="0" borderId="15" xfId="0" applyNumberFormat="1" applyFont="1" applyBorder="1" applyAlignment="1" applyProtection="1">
      <alignment/>
      <protection/>
    </xf>
    <xf numFmtId="4" fontId="3" fillId="33" borderId="15" xfId="0" applyNumberFormat="1" applyFont="1" applyFill="1" applyBorder="1" applyAlignment="1" applyProtection="1">
      <alignment/>
      <protection/>
    </xf>
    <xf numFmtId="0" fontId="4" fillId="35" borderId="16" xfId="0" applyFont="1" applyFill="1" applyBorder="1" applyAlignment="1" applyProtection="1">
      <alignment/>
      <protection/>
    </xf>
    <xf numFmtId="0" fontId="4" fillId="35" borderId="17" xfId="0" applyFont="1" applyFill="1" applyBorder="1" applyAlignment="1" applyProtection="1">
      <alignment/>
      <protection/>
    </xf>
    <xf numFmtId="49" fontId="4" fillId="35" borderId="17" xfId="0" applyNumberFormat="1" applyFont="1" applyFill="1" applyBorder="1" applyAlignment="1" applyProtection="1">
      <alignment/>
      <protection/>
    </xf>
    <xf numFmtId="4" fontId="4" fillId="35" borderId="17" xfId="0" applyNumberFormat="1" applyFont="1" applyFill="1" applyBorder="1" applyAlignment="1" applyProtection="1">
      <alignment/>
      <protection/>
    </xf>
    <xf numFmtId="0" fontId="0" fillId="0" borderId="0" xfId="0" applyAlignment="1" applyProtection="1">
      <alignment/>
      <protection locked="0"/>
    </xf>
    <xf numFmtId="0" fontId="0" fillId="33" borderId="0" xfId="0" applyFill="1" applyAlignment="1" applyProtection="1">
      <alignment/>
      <protection locked="0"/>
    </xf>
    <xf numFmtId="49" fontId="3" fillId="39" borderId="12" xfId="0" applyNumberFormat="1" applyFont="1" applyFill="1" applyBorder="1" applyAlignment="1" applyProtection="1">
      <alignment/>
      <protection/>
    </xf>
    <xf numFmtId="49" fontId="3" fillId="39" borderId="13" xfId="0" applyNumberFormat="1" applyFont="1" applyFill="1" applyBorder="1" applyAlignment="1" applyProtection="1">
      <alignment/>
      <protection/>
    </xf>
    <xf numFmtId="0" fontId="4" fillId="39" borderId="13" xfId="0" applyFont="1" applyFill="1" applyBorder="1" applyAlignment="1" applyProtection="1">
      <alignment/>
      <protection/>
    </xf>
    <xf numFmtId="4" fontId="3" fillId="39" borderId="13" xfId="0" applyNumberFormat="1" applyFont="1" applyFill="1" applyBorder="1" applyAlignment="1" applyProtection="1">
      <alignment/>
      <protection/>
    </xf>
    <xf numFmtId="49" fontId="3" fillId="36" borderId="12" xfId="0" applyNumberFormat="1" applyFont="1" applyFill="1" applyBorder="1" applyAlignment="1" applyProtection="1">
      <alignment/>
      <protection/>
    </xf>
    <xf numFmtId="49" fontId="3" fillId="37" borderId="12" xfId="0" applyNumberFormat="1" applyFont="1" applyFill="1" applyBorder="1" applyAlignment="1" applyProtection="1">
      <alignment/>
      <protection/>
    </xf>
    <xf numFmtId="49" fontId="3" fillId="0" borderId="12" xfId="0" applyNumberFormat="1" applyFont="1" applyFill="1" applyBorder="1" applyAlignment="1" applyProtection="1">
      <alignment/>
      <protection/>
    </xf>
    <xf numFmtId="49" fontId="3" fillId="0" borderId="13" xfId="0" applyNumberFormat="1" applyFont="1" applyFill="1" applyBorder="1" applyAlignment="1" applyProtection="1">
      <alignment/>
      <protection/>
    </xf>
    <xf numFmtId="0" fontId="3" fillId="0" borderId="13" xfId="0" applyFont="1" applyFill="1" applyBorder="1" applyAlignment="1" applyProtection="1" quotePrefix="1">
      <alignment/>
      <protection/>
    </xf>
    <xf numFmtId="49" fontId="3" fillId="37" borderId="13" xfId="0" applyNumberFormat="1" applyFont="1" applyFill="1" applyBorder="1" applyAlignment="1" applyProtection="1">
      <alignment wrapText="1"/>
      <protection/>
    </xf>
    <xf numFmtId="0" fontId="3" fillId="0" borderId="0" xfId="0" applyFont="1" applyFill="1" applyAlignment="1" applyProtection="1">
      <alignment/>
      <protection/>
    </xf>
    <xf numFmtId="4" fontId="3" fillId="0" borderId="0" xfId="0" applyNumberFormat="1" applyFont="1" applyFill="1" applyAlignment="1" applyProtection="1">
      <alignment/>
      <protection/>
    </xf>
    <xf numFmtId="0" fontId="5" fillId="0" borderId="0" xfId="0" applyFont="1" applyFill="1" applyAlignment="1" applyProtection="1">
      <alignment horizontal="center"/>
      <protection/>
    </xf>
    <xf numFmtId="0" fontId="3" fillId="35" borderId="0" xfId="0" applyFont="1" applyFill="1" applyAlignment="1" applyProtection="1">
      <alignment/>
      <protection/>
    </xf>
    <xf numFmtId="4" fontId="3" fillId="35" borderId="0" xfId="0" applyNumberFormat="1" applyFont="1" applyFill="1" applyAlignment="1" applyProtection="1">
      <alignment/>
      <protection/>
    </xf>
    <xf numFmtId="0" fontId="5" fillId="39" borderId="0" xfId="0" applyFont="1" applyFill="1" applyAlignment="1" applyProtection="1">
      <alignment/>
      <protection/>
    </xf>
    <xf numFmtId="0" fontId="3" fillId="39" borderId="0" xfId="0" applyFont="1" applyFill="1" applyAlignment="1" applyProtection="1">
      <alignment/>
      <protection/>
    </xf>
    <xf numFmtId="0" fontId="4" fillId="39" borderId="0" xfId="0" applyFont="1" applyFill="1" applyAlignment="1" applyProtection="1">
      <alignment/>
      <protection/>
    </xf>
    <xf numFmtId="4" fontId="4" fillId="39" borderId="0" xfId="0" applyNumberFormat="1" applyFont="1" applyFill="1" applyAlignment="1" applyProtection="1">
      <alignment/>
      <protection/>
    </xf>
    <xf numFmtId="0" fontId="5" fillId="35" borderId="0" xfId="0" applyFont="1" applyFill="1" applyAlignment="1">
      <alignment/>
    </xf>
    <xf numFmtId="0" fontId="5" fillId="35" borderId="0" xfId="0" applyFont="1" applyFill="1" applyAlignment="1" applyProtection="1">
      <alignment/>
      <protection/>
    </xf>
    <xf numFmtId="4" fontId="5" fillId="35" borderId="0" xfId="0" applyNumberFormat="1" applyFont="1" applyFill="1" applyAlignment="1">
      <alignment/>
    </xf>
    <xf numFmtId="4" fontId="0" fillId="0" borderId="0" xfId="0" applyNumberFormat="1" applyAlignment="1" applyProtection="1">
      <alignment/>
      <protection locked="0"/>
    </xf>
    <xf numFmtId="0" fontId="0" fillId="40" borderId="0" xfId="0" applyFill="1" applyAlignment="1">
      <alignment/>
    </xf>
    <xf numFmtId="0" fontId="5" fillId="40" borderId="0" xfId="0" applyFont="1" applyFill="1" applyAlignment="1" applyProtection="1">
      <alignment/>
      <protection/>
    </xf>
    <xf numFmtId="4" fontId="0" fillId="40" borderId="0" xfId="0" applyNumberFormat="1" applyFill="1" applyAlignment="1">
      <alignment/>
    </xf>
    <xf numFmtId="0" fontId="3" fillId="0" borderId="12" xfId="0" applyFont="1" applyFill="1" applyBorder="1" applyAlignment="1" applyProtection="1">
      <alignment/>
      <protection locked="0"/>
    </xf>
    <xf numFmtId="49" fontId="3" fillId="0" borderId="13" xfId="0" applyNumberFormat="1" applyFont="1" applyFill="1" applyBorder="1" applyAlignment="1" applyProtection="1">
      <alignment/>
      <protection locked="0"/>
    </xf>
    <xf numFmtId="0" fontId="3" fillId="0" borderId="13" xfId="0" applyFont="1" applyFill="1" applyBorder="1" applyAlignment="1" applyProtection="1">
      <alignment/>
      <protection locked="0"/>
    </xf>
    <xf numFmtId="0" fontId="3" fillId="0" borderId="13" xfId="0" applyFont="1" applyFill="1" applyBorder="1" applyAlignment="1" applyProtection="1">
      <alignment/>
      <protection locked="0"/>
    </xf>
    <xf numFmtId="49" fontId="3" fillId="0" borderId="13" xfId="0" applyNumberFormat="1" applyFont="1" applyFill="1" applyBorder="1" applyAlignment="1" applyProtection="1" quotePrefix="1">
      <alignment/>
      <protection locked="0"/>
    </xf>
    <xf numFmtId="0" fontId="5" fillId="0" borderId="0" xfId="0" applyFont="1" applyAlignment="1">
      <alignment/>
    </xf>
    <xf numFmtId="4" fontId="5" fillId="0" borderId="0" xfId="0" applyNumberFormat="1" applyFont="1" applyAlignment="1">
      <alignment/>
    </xf>
    <xf numFmtId="0" fontId="8" fillId="40" borderId="0" xfId="0" applyFont="1" applyFill="1" applyAlignment="1">
      <alignment/>
    </xf>
    <xf numFmtId="4" fontId="5" fillId="40" borderId="0" xfId="0" applyNumberFormat="1" applyFont="1" applyFill="1" applyAlignment="1">
      <alignment/>
    </xf>
    <xf numFmtId="0" fontId="8" fillId="0" borderId="0" xfId="0" applyFont="1" applyAlignment="1">
      <alignment/>
    </xf>
    <xf numFmtId="4" fontId="3" fillId="0" borderId="13" xfId="0" applyNumberFormat="1" applyFont="1" applyFill="1" applyBorder="1" applyAlignment="1" applyProtection="1">
      <alignment/>
      <protection/>
    </xf>
    <xf numFmtId="4" fontId="5" fillId="35" borderId="0" xfId="0" applyNumberFormat="1" applyFont="1" applyFill="1" applyAlignment="1" applyProtection="1">
      <alignment/>
      <protection/>
    </xf>
    <xf numFmtId="4" fontId="0" fillId="40" borderId="0" xfId="0" applyNumberFormat="1" applyFill="1" applyAlignment="1" applyProtection="1">
      <alignment/>
      <protection/>
    </xf>
    <xf numFmtId="0" fontId="4" fillId="0" borderId="18" xfId="0" applyFont="1" applyBorder="1" applyAlignment="1" applyProtection="1">
      <alignment horizontal="center" vertical="center" wrapText="1"/>
      <protection/>
    </xf>
    <xf numFmtId="0" fontId="9" fillId="0" borderId="0" xfId="0" applyFont="1" applyAlignment="1">
      <alignment horizontal="left"/>
    </xf>
    <xf numFmtId="0" fontId="13" fillId="0" borderId="0" xfId="0" applyFont="1" applyAlignment="1">
      <alignment/>
    </xf>
    <xf numFmtId="0" fontId="13" fillId="0" borderId="0" xfId="0" applyFont="1" applyAlignment="1">
      <alignment horizontal="left" wrapText="1"/>
    </xf>
    <xf numFmtId="0" fontId="16" fillId="0" borderId="0" xfId="0" applyFont="1" applyAlignment="1">
      <alignment horizontal="center"/>
    </xf>
    <xf numFmtId="0" fontId="15" fillId="0" borderId="0" xfId="0" applyFont="1" applyAlignment="1">
      <alignment/>
    </xf>
    <xf numFmtId="0" fontId="13" fillId="0" borderId="0" xfId="0" applyFont="1" applyAlignment="1">
      <alignment horizontal="left"/>
    </xf>
    <xf numFmtId="0" fontId="15" fillId="0" borderId="0" xfId="0" applyFont="1" applyAlignment="1">
      <alignment horizontal="left" vertical="top" wrapText="1"/>
    </xf>
    <xf numFmtId="0" fontId="15" fillId="0" borderId="0" xfId="0" applyFont="1" applyAlignment="1">
      <alignment horizontal="left"/>
    </xf>
    <xf numFmtId="0" fontId="13" fillId="0" borderId="0" xfId="0" applyFont="1" applyAlignment="1">
      <alignment horizontal="left" vertical="top" wrapText="1"/>
    </xf>
    <xf numFmtId="0" fontId="13" fillId="0" borderId="0" xfId="0" applyFont="1" applyAlignment="1">
      <alignment wrapText="1"/>
    </xf>
    <xf numFmtId="0" fontId="15" fillId="0" borderId="0" xfId="0" applyFont="1" applyAlignment="1">
      <alignment horizontal="right"/>
    </xf>
    <xf numFmtId="0" fontId="13" fillId="0" borderId="0" xfId="0" applyFont="1" applyAlignment="1">
      <alignment horizontal="center"/>
    </xf>
    <xf numFmtId="0" fontId="13" fillId="0" borderId="0" xfId="0" applyFont="1" applyAlignment="1">
      <alignment horizontal="right"/>
    </xf>
    <xf numFmtId="0" fontId="13" fillId="0" borderId="0" xfId="0" applyFont="1" applyAlignment="1">
      <alignment horizontal="right" vertical="top" wrapText="1"/>
    </xf>
    <xf numFmtId="0" fontId="13" fillId="0" borderId="0" xfId="0" applyFont="1" applyAlignment="1">
      <alignment horizontal="right" wrapText="1"/>
    </xf>
    <xf numFmtId="0" fontId="13" fillId="0" borderId="0" xfId="0" applyFont="1" applyAlignment="1">
      <alignment vertical="top" wrapText="1"/>
    </xf>
    <xf numFmtId="0" fontId="13" fillId="0" borderId="0" xfId="0" applyFont="1" applyAlignment="1">
      <alignment vertical="top"/>
    </xf>
    <xf numFmtId="0" fontId="13" fillId="0" borderId="0" xfId="0" applyFont="1" applyAlignment="1">
      <alignment horizontal="left" vertical="top"/>
    </xf>
    <xf numFmtId="4" fontId="15" fillId="0" borderId="0" xfId="0" applyNumberFormat="1" applyFont="1" applyAlignment="1">
      <alignment horizontal="center"/>
    </xf>
    <xf numFmtId="4" fontId="15" fillId="0" borderId="0" xfId="0" applyNumberFormat="1" applyFont="1" applyAlignment="1">
      <alignment/>
    </xf>
    <xf numFmtId="0" fontId="13" fillId="0" borderId="0" xfId="0" applyFont="1" applyAlignment="1">
      <alignment vertical="center"/>
    </xf>
    <xf numFmtId="0" fontId="13" fillId="0" borderId="13" xfId="0" applyFont="1" applyBorder="1" applyAlignment="1">
      <alignment horizontal="center" vertical="center" wrapText="1"/>
    </xf>
    <xf numFmtId="0" fontId="21" fillId="0" borderId="0" xfId="0" applyFont="1" applyAlignment="1">
      <alignment horizontal="center" vertical="center"/>
    </xf>
    <xf numFmtId="0" fontId="15" fillId="0" borderId="13" xfId="0" applyFont="1" applyBorder="1" applyAlignment="1">
      <alignment vertical="center"/>
    </xf>
    <xf numFmtId="0" fontId="0" fillId="0" borderId="0" xfId="0" applyFont="1" applyAlignment="1">
      <alignment/>
    </xf>
    <xf numFmtId="0" fontId="18" fillId="0" borderId="0" xfId="0" applyFont="1" applyBorder="1" applyAlignment="1">
      <alignment horizontal="right"/>
    </xf>
    <xf numFmtId="0" fontId="18" fillId="0" borderId="0" xfId="0" applyFont="1" applyBorder="1" applyAlignment="1">
      <alignment horizontal="center"/>
    </xf>
    <xf numFmtId="0" fontId="0" fillId="0" borderId="0" xfId="0" applyFont="1" applyAlignment="1">
      <alignment/>
    </xf>
    <xf numFmtId="0" fontId="9" fillId="0" borderId="0" xfId="0" applyFont="1" applyAlignment="1">
      <alignment/>
    </xf>
    <xf numFmtId="0" fontId="9" fillId="0" borderId="0" xfId="0" applyFont="1" applyAlignment="1">
      <alignment horizontal="left"/>
    </xf>
    <xf numFmtId="0" fontId="0" fillId="0" borderId="0" xfId="0" applyFont="1" applyAlignment="1">
      <alignment/>
    </xf>
    <xf numFmtId="0" fontId="0" fillId="0" borderId="0" xfId="0" applyFont="1" applyAlignment="1">
      <alignment/>
    </xf>
    <xf numFmtId="0" fontId="9" fillId="0" borderId="0" xfId="0" applyFont="1" applyAlignment="1">
      <alignment/>
    </xf>
    <xf numFmtId="0" fontId="13" fillId="0" borderId="0" xfId="0" applyFont="1" applyAlignment="1">
      <alignment horizontal="center" vertical="center"/>
    </xf>
    <xf numFmtId="0" fontId="13" fillId="0" borderId="0" xfId="0" applyFont="1" applyAlignment="1">
      <alignment horizontal="center" vertical="center" wrapText="1"/>
    </xf>
    <xf numFmtId="0" fontId="15" fillId="0" borderId="13" xfId="0" applyFont="1" applyBorder="1" applyAlignment="1">
      <alignment horizontal="center" vertical="center"/>
    </xf>
    <xf numFmtId="2" fontId="15" fillId="0" borderId="13" xfId="0" applyNumberFormat="1"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2" fontId="17" fillId="0" borderId="0" xfId="0" applyNumberFormat="1" applyFont="1" applyBorder="1" applyAlignment="1">
      <alignment horizontal="center" vertical="center"/>
    </xf>
    <xf numFmtId="183" fontId="17"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7" fillId="0" borderId="0" xfId="0" applyFont="1" applyBorder="1" applyAlignment="1">
      <alignment horizontal="center" vertical="center" wrapText="1"/>
    </xf>
    <xf numFmtId="0" fontId="15" fillId="0" borderId="0" xfId="0" applyFont="1" applyBorder="1" applyAlignment="1">
      <alignment horizontal="left" wrapText="1"/>
    </xf>
    <xf numFmtId="0" fontId="13" fillId="0" borderId="13" xfId="0" applyFont="1" applyBorder="1" applyAlignment="1">
      <alignment horizontal="center" vertical="center" textRotation="90" wrapText="1"/>
    </xf>
    <xf numFmtId="2" fontId="13" fillId="0" borderId="13" xfId="0" applyNumberFormat="1" applyFont="1" applyBorder="1" applyAlignment="1">
      <alignment horizontal="center" vertical="center" textRotation="90" wrapText="1"/>
    </xf>
    <xf numFmtId="49" fontId="13" fillId="0" borderId="13" xfId="0" applyNumberFormat="1" applyFont="1" applyBorder="1" applyAlignment="1">
      <alignment horizontal="center" vertical="center" wrapText="1"/>
    </xf>
    <xf numFmtId="0" fontId="13" fillId="0" borderId="13" xfId="0" applyFont="1" applyBorder="1" applyAlignment="1">
      <alignment horizontal="center" vertical="top" wrapText="1"/>
    </xf>
    <xf numFmtId="1" fontId="13" fillId="0" borderId="13" xfId="0" applyNumberFormat="1" applyFont="1" applyBorder="1" applyAlignment="1">
      <alignment horizontal="center" vertical="center" wrapText="1"/>
    </xf>
    <xf numFmtId="184" fontId="13" fillId="0" borderId="13" xfId="0" applyNumberFormat="1" applyFont="1" applyBorder="1" applyAlignment="1">
      <alignment horizontal="center" vertical="center" wrapText="1"/>
    </xf>
    <xf numFmtId="185" fontId="13" fillId="0" borderId="13" xfId="0" applyNumberFormat="1" applyFont="1" applyBorder="1" applyAlignment="1">
      <alignment horizontal="center" vertical="center" wrapText="1"/>
    </xf>
    <xf numFmtId="0" fontId="14" fillId="0" borderId="13" xfId="0" applyFont="1" applyBorder="1" applyAlignment="1">
      <alignment horizontal="center" vertical="top" wrapText="1"/>
    </xf>
    <xf numFmtId="184" fontId="13" fillId="0" borderId="15" xfId="0" applyNumberFormat="1" applyFont="1" applyBorder="1" applyAlignment="1">
      <alignment horizontal="center" vertical="center" wrapText="1"/>
    </xf>
    <xf numFmtId="0" fontId="17" fillId="0" borderId="13" xfId="0" applyFont="1" applyBorder="1" applyAlignment="1">
      <alignment horizontal="center" vertical="center"/>
    </xf>
    <xf numFmtId="0" fontId="12" fillId="0" borderId="13" xfId="0" applyFont="1" applyBorder="1" applyAlignment="1">
      <alignment horizontal="center" vertical="center"/>
    </xf>
    <xf numFmtId="0" fontId="15" fillId="0" borderId="0" xfId="0" applyFont="1" applyAlignment="1">
      <alignment horizontal="center" vertical="center"/>
    </xf>
    <xf numFmtId="0" fontId="17" fillId="0" borderId="0" xfId="0" applyFont="1" applyBorder="1" applyAlignment="1">
      <alignment horizontal="left"/>
    </xf>
    <xf numFmtId="0" fontId="17" fillId="0" borderId="0" xfId="0" applyNumberFormat="1" applyFont="1" applyBorder="1" applyAlignment="1">
      <alignment horizontal="center" vertical="center"/>
    </xf>
    <xf numFmtId="0" fontId="17" fillId="0" borderId="0" xfId="0" applyFont="1" applyBorder="1" applyAlignment="1">
      <alignment horizontal="center"/>
    </xf>
    <xf numFmtId="4" fontId="17" fillId="0" borderId="0" xfId="0" applyNumberFormat="1" applyFont="1" applyBorder="1" applyAlignment="1">
      <alignment horizontal="right" vertical="center"/>
    </xf>
    <xf numFmtId="0" fontId="13" fillId="0" borderId="13" xfId="0" applyFont="1" applyBorder="1" applyAlignment="1">
      <alignment horizontal="left" vertical="center" wrapText="1"/>
    </xf>
    <xf numFmtId="49" fontId="15" fillId="0" borderId="13" xfId="0" applyNumberFormat="1" applyFont="1" applyBorder="1" applyAlignment="1">
      <alignment horizontal="center" vertical="center" wrapText="1"/>
    </xf>
    <xf numFmtId="0" fontId="13" fillId="0" borderId="13" xfId="0" applyFont="1" applyBorder="1" applyAlignment="1">
      <alignment horizontal="left" vertical="top" wrapText="1"/>
    </xf>
    <xf numFmtId="2" fontId="13" fillId="0" borderId="13"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2" fontId="15" fillId="0" borderId="20" xfId="0" applyNumberFormat="1" applyFont="1" applyBorder="1" applyAlignment="1">
      <alignment horizontal="center" vertical="center" wrapText="1"/>
    </xf>
    <xf numFmtId="4" fontId="13" fillId="0" borderId="13" xfId="0" applyNumberFormat="1" applyFont="1" applyBorder="1" applyAlignment="1">
      <alignment horizontal="center" vertical="center" wrapText="1"/>
    </xf>
    <xf numFmtId="0" fontId="15" fillId="0" borderId="20" xfId="0" applyFont="1" applyBorder="1" applyAlignment="1">
      <alignment horizontal="center" vertical="center" wrapText="1"/>
    </xf>
    <xf numFmtId="2" fontId="13" fillId="0" borderId="21" xfId="0" applyNumberFormat="1" applyFont="1" applyBorder="1" applyAlignment="1">
      <alignment horizontal="center" vertical="center" wrapText="1"/>
    </xf>
    <xf numFmtId="49" fontId="13" fillId="0" borderId="0" xfId="0" applyNumberFormat="1" applyFont="1" applyAlignment="1">
      <alignment vertical="center"/>
    </xf>
    <xf numFmtId="49" fontId="15" fillId="0" borderId="13" xfId="0" applyNumberFormat="1" applyFont="1" applyBorder="1" applyAlignment="1">
      <alignment vertical="center"/>
    </xf>
    <xf numFmtId="0" fontId="13" fillId="0" borderId="13" xfId="0" applyFont="1" applyBorder="1" applyAlignment="1">
      <alignment horizontal="left"/>
    </xf>
    <xf numFmtId="49" fontId="15" fillId="0" borderId="0" xfId="0" applyNumberFormat="1" applyFont="1" applyAlignment="1">
      <alignment vertical="center"/>
    </xf>
    <xf numFmtId="0" fontId="23" fillId="0" borderId="13" xfId="0" applyFont="1" applyBorder="1" applyAlignment="1">
      <alignment horizontal="left" vertical="center" wrapText="1"/>
    </xf>
    <xf numFmtId="4" fontId="23" fillId="0" borderId="13" xfId="0" applyNumberFormat="1" applyFont="1" applyBorder="1" applyAlignment="1">
      <alignment horizontal="left" vertical="center" wrapText="1"/>
    </xf>
    <xf numFmtId="0" fontId="12" fillId="0" borderId="13" xfId="0" applyFont="1" applyBorder="1" applyAlignment="1">
      <alignment horizontal="left" vertical="top" wrapText="1"/>
    </xf>
    <xf numFmtId="0" fontId="17" fillId="0" borderId="21" xfId="0" applyFont="1" applyBorder="1" applyAlignment="1">
      <alignment horizontal="left" vertical="center" wrapText="1"/>
    </xf>
    <xf numFmtId="0" fontId="15" fillId="0" borderId="0" xfId="0" applyFont="1" applyAlignment="1">
      <alignment vertical="center"/>
    </xf>
    <xf numFmtId="0" fontId="10" fillId="0" borderId="0" xfId="0" applyFont="1" applyAlignment="1">
      <alignment horizontal="left" vertical="top" wrapText="1"/>
    </xf>
    <xf numFmtId="0" fontId="9" fillId="0" borderId="0" xfId="0" applyFont="1" applyAlignment="1">
      <alignment horizontal="left" vertical="top" wrapText="1"/>
    </xf>
    <xf numFmtId="188" fontId="9" fillId="0" borderId="0" xfId="0" applyNumberFormat="1"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left" vertical="top" wrapText="1"/>
    </xf>
    <xf numFmtId="0" fontId="25" fillId="0" borderId="0" xfId="0" applyFont="1" applyAlignment="1">
      <alignment horizontal="center" vertical="center"/>
    </xf>
    <xf numFmtId="4" fontId="4" fillId="39" borderId="13" xfId="0" applyNumberFormat="1" applyFont="1" applyFill="1" applyBorder="1" applyAlignment="1" applyProtection="1">
      <alignment/>
      <protection/>
    </xf>
    <xf numFmtId="4" fontId="3" fillId="0" borderId="13" xfId="0" applyNumberFormat="1" applyFont="1" applyFill="1" applyBorder="1" applyAlignment="1" applyProtection="1" quotePrefix="1">
      <alignment/>
      <protection/>
    </xf>
    <xf numFmtId="4" fontId="5" fillId="0" borderId="0" xfId="0" applyNumberFormat="1" applyFont="1" applyFill="1" applyAlignment="1" applyProtection="1">
      <alignment horizontal="center"/>
      <protection/>
    </xf>
    <xf numFmtId="4" fontId="0" fillId="0" borderId="0" xfId="0" applyNumberFormat="1" applyAlignment="1">
      <alignment/>
    </xf>
    <xf numFmtId="0" fontId="4" fillId="34" borderId="10" xfId="0" applyFont="1" applyFill="1" applyBorder="1" applyAlignment="1" applyProtection="1">
      <alignment horizontal="center" vertical="center" wrapText="1"/>
      <protection/>
    </xf>
    <xf numFmtId="4" fontId="15" fillId="0" borderId="20" xfId="0" applyNumberFormat="1" applyFont="1" applyBorder="1" applyAlignment="1">
      <alignment horizontal="center" vertical="center" wrapText="1"/>
    </xf>
    <xf numFmtId="4" fontId="13" fillId="0" borderId="21" xfId="0" applyNumberFormat="1" applyFont="1" applyBorder="1" applyAlignment="1">
      <alignment horizontal="center" vertical="center" wrapText="1"/>
    </xf>
    <xf numFmtId="4" fontId="17" fillId="0" borderId="13" xfId="0" applyNumberFormat="1" applyFont="1" applyBorder="1" applyAlignment="1">
      <alignment horizontal="center" vertical="center"/>
    </xf>
    <xf numFmtId="14" fontId="13" fillId="0" borderId="0" xfId="0" applyNumberFormat="1" applyFont="1" applyAlignment="1">
      <alignment horizontal="left"/>
    </xf>
    <xf numFmtId="0" fontId="15" fillId="0" borderId="0" xfId="0" applyFont="1" applyAlignment="1">
      <alignment horizontal="left" vertical="center"/>
    </xf>
    <xf numFmtId="0" fontId="13" fillId="0" borderId="0" xfId="0" applyFont="1" applyAlignment="1">
      <alignment horizontal="left" vertical="center"/>
    </xf>
    <xf numFmtId="0" fontId="4" fillId="0" borderId="15" xfId="0" applyFont="1" applyBorder="1" applyAlignment="1" applyProtection="1">
      <alignment horizontal="center"/>
      <protection/>
    </xf>
    <xf numFmtId="0" fontId="5" fillId="33" borderId="0" xfId="0" applyFont="1" applyFill="1" applyAlignment="1" applyProtection="1">
      <alignment horizontal="center"/>
      <protection/>
    </xf>
    <xf numFmtId="0" fontId="4" fillId="34" borderId="22" xfId="0" applyFont="1" applyFill="1" applyBorder="1" applyAlignment="1" applyProtection="1">
      <alignment horizontal="center" vertical="center"/>
      <protection/>
    </xf>
    <xf numFmtId="0" fontId="0" fillId="0" borderId="23" xfId="0" applyBorder="1" applyAlignment="1">
      <alignment horizontal="center" vertical="center"/>
    </xf>
    <xf numFmtId="0" fontId="17" fillId="0" borderId="13" xfId="0" applyFont="1" applyBorder="1" applyAlignment="1">
      <alignment horizontal="center" vertical="center"/>
    </xf>
    <xf numFmtId="0" fontId="15"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24" fillId="0" borderId="0" xfId="0" applyFont="1" applyAlignment="1">
      <alignment vertical="center"/>
    </xf>
    <xf numFmtId="0" fontId="14" fillId="0" borderId="0" xfId="0" applyFont="1" applyAlignment="1">
      <alignment vertical="center"/>
    </xf>
    <xf numFmtId="0" fontId="15" fillId="0" borderId="13" xfId="0" applyFont="1" applyBorder="1" applyAlignment="1">
      <alignment horizontal="center" vertical="center"/>
    </xf>
    <xf numFmtId="5" fontId="15" fillId="0" borderId="13" xfId="0" applyNumberFormat="1" applyFont="1" applyBorder="1" applyAlignment="1">
      <alignment horizontal="center" vertical="center" wrapText="1"/>
    </xf>
    <xf numFmtId="5" fontId="13" fillId="0" borderId="13" xfId="0" applyNumberFormat="1" applyFont="1" applyBorder="1" applyAlignment="1">
      <alignment horizontal="center" vertical="center" wrapText="1"/>
    </xf>
    <xf numFmtId="0" fontId="15" fillId="0" borderId="0" xfId="0" applyFont="1" applyAlignment="1">
      <alignment horizontal="left" vertical="top" wrapText="1"/>
    </xf>
    <xf numFmtId="0" fontId="13" fillId="0" borderId="0" xfId="0" applyFont="1" applyAlignment="1">
      <alignment horizontal="left" vertical="top" wrapText="1"/>
    </xf>
    <xf numFmtId="0" fontId="15" fillId="0" borderId="0" xfId="0" applyFont="1" applyAlignment="1">
      <alignment horizontal="left"/>
    </xf>
    <xf numFmtId="0" fontId="13" fillId="0" borderId="0" xfId="0" applyFont="1" applyAlignment="1">
      <alignment horizontal="left"/>
    </xf>
    <xf numFmtId="0" fontId="13" fillId="0" borderId="0" xfId="0" applyFont="1" applyAlignment="1">
      <alignment wrapText="1"/>
    </xf>
    <xf numFmtId="0" fontId="13"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center"/>
    </xf>
    <xf numFmtId="0" fontId="18" fillId="0" borderId="24" xfId="0" applyFont="1" applyBorder="1" applyAlignment="1">
      <alignment horizontal="center"/>
    </xf>
    <xf numFmtId="0" fontId="18" fillId="0" borderId="25" xfId="0" applyFont="1" applyBorder="1" applyAlignment="1">
      <alignment horizontal="center"/>
    </xf>
    <xf numFmtId="0" fontId="18" fillId="0" borderId="26" xfId="0" applyFont="1" applyBorder="1" applyAlignment="1">
      <alignment horizontal="center"/>
    </xf>
    <xf numFmtId="0" fontId="19" fillId="0" borderId="0" xfId="0" applyFont="1" applyAlignment="1">
      <alignment horizontal="center"/>
    </xf>
    <xf numFmtId="0" fontId="19" fillId="0" borderId="0" xfId="0" applyFont="1" applyAlignment="1">
      <alignment horizontal="center" wrapText="1"/>
    </xf>
    <xf numFmtId="181" fontId="13" fillId="0" borderId="0" xfId="33" applyNumberFormat="1" applyFont="1" applyAlignment="1">
      <alignment horizontal="left" vertical="center" wrapText="1"/>
    </xf>
    <xf numFmtId="0" fontId="24" fillId="0" borderId="0" xfId="0" applyFont="1" applyAlignment="1">
      <alignment horizontal="left" vertical="top" wrapText="1"/>
    </xf>
    <xf numFmtId="4" fontId="15" fillId="0" borderId="0" xfId="0" applyNumberFormat="1" applyFont="1" applyAlignment="1">
      <alignment horizontal="left"/>
    </xf>
    <xf numFmtId="0" fontId="13" fillId="0" borderId="0" xfId="0" applyFont="1" applyAlignment="1">
      <alignment horizontal="center"/>
    </xf>
    <xf numFmtId="184" fontId="15" fillId="0" borderId="13"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Alignment="1">
      <alignment vertical="top" wrapText="1"/>
    </xf>
    <xf numFmtId="0" fontId="15" fillId="0" borderId="0" xfId="0" applyFont="1" applyAlignment="1">
      <alignment/>
    </xf>
    <xf numFmtId="0" fontId="13" fillId="0" borderId="15" xfId="0" applyFont="1" applyBorder="1" applyAlignment="1">
      <alignment horizontal="left" vertical="center"/>
    </xf>
    <xf numFmtId="0" fontId="17" fillId="0" borderId="27" xfId="0" applyFont="1" applyBorder="1" applyAlignment="1">
      <alignment horizontal="right" vertical="center"/>
    </xf>
    <xf numFmtId="0" fontId="17" fillId="0" borderId="13" xfId="0" applyFont="1" applyBorder="1" applyAlignment="1">
      <alignment horizontal="right" vertical="center"/>
    </xf>
    <xf numFmtId="0" fontId="17" fillId="0" borderId="28" xfId="0" applyFont="1" applyBorder="1" applyAlignment="1">
      <alignment horizontal="left" wrapText="1"/>
    </xf>
    <xf numFmtId="0" fontId="13" fillId="0" borderId="15" xfId="0" applyFont="1" applyBorder="1" applyAlignment="1">
      <alignment horizontal="left" vertical="center" wrapText="1"/>
    </xf>
    <xf numFmtId="0" fontId="17" fillId="0" borderId="0" xfId="0" applyFont="1" applyBorder="1" applyAlignment="1">
      <alignment horizontal="right" vertical="center"/>
    </xf>
    <xf numFmtId="0" fontId="17" fillId="0" borderId="0" xfId="0" applyFont="1" applyBorder="1" applyAlignment="1">
      <alignment horizontal="left"/>
    </xf>
    <xf numFmtId="0" fontId="17" fillId="0" borderId="0" xfId="0" applyFont="1" applyBorder="1" applyAlignment="1">
      <alignment horizontal="left" vertical="center" wrapText="1"/>
    </xf>
    <xf numFmtId="0" fontId="21" fillId="0" borderId="0" xfId="0" applyFont="1" applyAlignment="1">
      <alignment horizontal="center" vertical="center"/>
    </xf>
    <xf numFmtId="0" fontId="12" fillId="0" borderId="0" xfId="0" applyFont="1" applyBorder="1" applyAlignment="1">
      <alignment horizontal="left" vertical="top" wrapText="1"/>
    </xf>
    <xf numFmtId="49" fontId="22" fillId="0" borderId="29" xfId="0" applyNumberFormat="1" applyFont="1" applyBorder="1" applyAlignment="1">
      <alignment horizontal="center" vertical="center" wrapText="1"/>
    </xf>
    <xf numFmtId="49" fontId="22" fillId="0" borderId="0" xfId="0" applyNumberFormat="1" applyFont="1" applyAlignment="1">
      <alignment horizontal="center"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2600325</xdr:colOff>
      <xdr:row>1</xdr:row>
      <xdr:rowOff>152400</xdr:rowOff>
    </xdr:from>
    <xdr:to>
      <xdr:col>5</xdr:col>
      <xdr:colOff>4743450</xdr:colOff>
      <xdr:row>3</xdr:row>
      <xdr:rowOff>142875</xdr:rowOff>
    </xdr:to>
    <xdr:sp macro="[1]!Μακροεντολή1">
      <xdr:nvSpPr>
        <xdr:cNvPr id="1" name="AutoShape 2"/>
        <xdr:cNvSpPr>
          <a:spLocks/>
        </xdr:cNvSpPr>
      </xdr:nvSpPr>
      <xdr:spPr>
        <a:xfrm flipH="1" flipV="1">
          <a:off x="4114800" y="314325"/>
          <a:ext cx="2143125" cy="314325"/>
        </a:xfrm>
        <a:prstGeom prst="cloudCallout">
          <a:avLst>
            <a:gd name="adj1" fmla="val -41509"/>
            <a:gd name="adj2" fmla="val 64703"/>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Greek"/>
              <a:ea typeface="Arial Greek"/>
              <a:cs typeface="Arial Greek"/>
            </a:rPr>
            <a:t>4 βάθμιοι =&gt; 5 βάθμιοι</a:t>
          </a:r>
        </a:p>
      </xdr:txBody>
    </xdr:sp>
    <xdr:clientData/>
  </xdr:twoCellAnchor>
  <xdr:twoCellAnchor>
    <xdr:from>
      <xdr:col>5</xdr:col>
      <xdr:colOff>4743450</xdr:colOff>
      <xdr:row>1</xdr:row>
      <xdr:rowOff>19050</xdr:rowOff>
    </xdr:from>
    <xdr:to>
      <xdr:col>8</xdr:col>
      <xdr:colOff>0</xdr:colOff>
      <xdr:row>2</xdr:row>
      <xdr:rowOff>104775</xdr:rowOff>
    </xdr:to>
    <xdr:sp macro="[1]!Μακροεντολή2">
      <xdr:nvSpPr>
        <xdr:cNvPr id="2" name="AutoShape 3"/>
        <xdr:cNvSpPr>
          <a:spLocks/>
        </xdr:cNvSpPr>
      </xdr:nvSpPr>
      <xdr:spPr>
        <a:xfrm flipH="1">
          <a:off x="6257925" y="180975"/>
          <a:ext cx="2495550" cy="247650"/>
        </a:xfrm>
        <a:prstGeom prst="cloudCallout">
          <a:avLst>
            <a:gd name="adj1" fmla="val 50000"/>
            <a:gd name="adj2" fmla="val 64287"/>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Greek"/>
              <a:ea typeface="Arial Greek"/>
              <a:cs typeface="Arial Greek"/>
            </a:rPr>
            <a:t>Σύνολα 3 βαθμίου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2524125</xdr:colOff>
      <xdr:row>0</xdr:row>
      <xdr:rowOff>190500</xdr:rowOff>
    </xdr:from>
    <xdr:to>
      <xdr:col>7</xdr:col>
      <xdr:colOff>180975</xdr:colOff>
      <xdr:row>2</xdr:row>
      <xdr:rowOff>0</xdr:rowOff>
    </xdr:to>
    <xdr:sp macro="[1]!Μακροεντολή1">
      <xdr:nvSpPr>
        <xdr:cNvPr id="1" name="AutoShape 3"/>
        <xdr:cNvSpPr>
          <a:spLocks/>
        </xdr:cNvSpPr>
      </xdr:nvSpPr>
      <xdr:spPr>
        <a:xfrm flipH="1">
          <a:off x="4267200" y="190500"/>
          <a:ext cx="3257550" cy="276225"/>
        </a:xfrm>
        <a:prstGeom prst="cloudCallout">
          <a:avLst>
            <a:gd name="adj1" fmla="val -41509"/>
            <a:gd name="adj2" fmla="val 64703"/>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Greek"/>
              <a:ea typeface="Arial Greek"/>
              <a:cs typeface="Arial Greek"/>
            </a:rPr>
            <a:t>4 βάθμιοι =&gt; 5 βάθμιοι</a:t>
          </a:r>
        </a:p>
      </xdr:txBody>
    </xdr:sp>
    <xdr:clientData/>
  </xdr:twoCellAnchor>
  <xdr:twoCellAnchor>
    <xdr:from>
      <xdr:col>8</xdr:col>
      <xdr:colOff>247650</xdr:colOff>
      <xdr:row>0</xdr:row>
      <xdr:rowOff>238125</xdr:rowOff>
    </xdr:from>
    <xdr:to>
      <xdr:col>10</xdr:col>
      <xdr:colOff>209550</xdr:colOff>
      <xdr:row>1</xdr:row>
      <xdr:rowOff>190500</xdr:rowOff>
    </xdr:to>
    <xdr:sp macro="[1]!Μακροεντολή2">
      <xdr:nvSpPr>
        <xdr:cNvPr id="2" name="AutoShape 4"/>
        <xdr:cNvSpPr>
          <a:spLocks/>
        </xdr:cNvSpPr>
      </xdr:nvSpPr>
      <xdr:spPr>
        <a:xfrm>
          <a:off x="8743950" y="238125"/>
          <a:ext cx="1095375" cy="228600"/>
        </a:xfrm>
        <a:prstGeom prst="cloudCallout">
          <a:avLst>
            <a:gd name="adj1" fmla="val 53527"/>
            <a:gd name="adj2" fmla="val 78569"/>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Greek"/>
              <a:ea typeface="Arial Greek"/>
              <a:cs typeface="Arial Greek"/>
            </a:rPr>
            <a:t>Σύνολα 3 βαθμίου</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212</xdr:row>
      <xdr:rowOff>0</xdr:rowOff>
    </xdr:from>
    <xdr:to>
      <xdr:col>8</xdr:col>
      <xdr:colOff>2705100</xdr:colOff>
      <xdr:row>220</xdr:row>
      <xdr:rowOff>19050</xdr:rowOff>
    </xdr:to>
    <xdr:pic>
      <xdr:nvPicPr>
        <xdr:cNvPr id="1" name="Εικόνα 9"/>
        <xdr:cNvPicPr preferRelativeResize="1">
          <a:picLocks noChangeAspect="1"/>
        </xdr:cNvPicPr>
      </xdr:nvPicPr>
      <xdr:blipFill>
        <a:blip r:embed="rId1"/>
        <a:stretch>
          <a:fillRect/>
        </a:stretch>
      </xdr:blipFill>
      <xdr:spPr>
        <a:xfrm>
          <a:off x="7962900" y="35156775"/>
          <a:ext cx="2705100" cy="1314450"/>
        </a:xfrm>
        <a:prstGeom prst="rect">
          <a:avLst/>
        </a:prstGeom>
        <a:noFill/>
        <a:ln w="9525" cmpd="sng">
          <a:noFill/>
        </a:ln>
      </xdr:spPr>
    </xdr:pic>
    <xdr:clientData/>
  </xdr:twoCellAnchor>
  <xdr:twoCellAnchor>
    <xdr:from>
      <xdr:col>8</xdr:col>
      <xdr:colOff>171450</xdr:colOff>
      <xdr:row>212</xdr:row>
      <xdr:rowOff>152400</xdr:rowOff>
    </xdr:from>
    <xdr:to>
      <xdr:col>8</xdr:col>
      <xdr:colOff>2876550</xdr:colOff>
      <xdr:row>221</xdr:row>
      <xdr:rowOff>9525</xdr:rowOff>
    </xdr:to>
    <xdr:pic>
      <xdr:nvPicPr>
        <xdr:cNvPr id="2" name="Εικόνα 9"/>
        <xdr:cNvPicPr preferRelativeResize="1">
          <a:picLocks noChangeAspect="1"/>
        </xdr:cNvPicPr>
      </xdr:nvPicPr>
      <xdr:blipFill>
        <a:blip r:embed="rId1"/>
        <a:stretch>
          <a:fillRect/>
        </a:stretch>
      </xdr:blipFill>
      <xdr:spPr>
        <a:xfrm>
          <a:off x="8134350" y="35309175"/>
          <a:ext cx="2705100"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M\Local%20Settings\Temporary%20Internet%20files\Content.IE5\GBC765CX\&#928;&#961;&#959;&#971;&#960;&#959;&#955;&#959;&#947;&#953;&#963;&#956;&#972;&#962;_%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913;&#957;&#964;&#943;&#947;&#961;&#945;&#966;&#959;%20&#945;&#960;&#972;%20&#928;&#929;&#927;&#933;&#928;&#927;&#923;&#927;&#915;&#921;&#931;&#924;&#927;&#931;%202010.&#960;&#945;&#955;&#945;&#953;&#9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σοδα"/>
      <sheetName val="εσοδα (2)"/>
      <sheetName val="εξοδα"/>
      <sheetName val="εξοδα (2)"/>
      <sheetName val="ΣΥΝΟΛΑ"/>
      <sheetName val="Προϋπολογισμός_ 2004"/>
    </sheetNames>
    <definedNames>
      <definedName name="Μακροεντολή1"/>
      <definedName name="Μακροεντολή2"/>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ΕΙΣΗΓΗΤΙΚΗ ΕΚΘΕΣΗ ΜΙΣΘΟΔΟΣΙΑΣ"/>
      <sheetName val="ΕΞΩΦΥΛΟ"/>
      <sheetName val="ΑΝΑΚΕΦΑΛΑΙΩΣΗ ΕΣΟΔΩΝ"/>
      <sheetName val="ΑΝΑΚΕΦΑΛΑΙΩΣΗ ΕΞΟΔΩΝ"/>
      <sheetName val="ΕΣΟΔΑ"/>
      <sheetName val="ΕΞΟΔΑ"/>
      <sheetName val="ΓΕΝΙΚΗ ΑΝΑΚΕΦΑΛΑΙΩΣΗ"/>
      <sheetName val="Φύλλο1"/>
      <sheetName val="ΕΙΣΗΓΗΤΙΚΗ ΕΚΘΕΣΗ  (2)"/>
      <sheetName val="ΕΙΣΗΓΗΤΙΚΗ ΕΚΘΕΣΗ "/>
      <sheetName val="0264"/>
      <sheetName val="0711-0721"/>
      <sheetName val="832-1511"/>
      <sheetName val="ΔΕΔΟΜΕΝΑ"/>
      <sheetName val="0813"/>
      <sheetName val="ΠΑΡΑΜΕΤΡΟΙ"/>
    </sheetNames>
    <sheetDataSet>
      <sheetData sheetId="13">
        <row r="3">
          <cell r="A3" t="str">
            <v>0111</v>
          </cell>
          <cell r="B3" t="str">
            <v>Επιχορηγήσεις για δαπάνες μισθοδοσίας προσωπικού</v>
          </cell>
          <cell r="G3" t="str">
            <v>  Η πίστωση αυτή  θα καλύψει τις ανάγκες μισθοδοσίας του Προέδρου του Διοικητικού Συμβουλίου σύμφωνα με το ΦΕΚ 695/6-6-2006.</v>
          </cell>
        </row>
        <row r="21">
          <cell r="G21" t="str">
            <v> ποσό που προβλέπουμε να εισπράξουμε από κρατήσεις υπέρ Ι.Κ.Α. από τη μισθοδοσία του προσωπικού, γράφεται αντίστοιχα στα έξοδα.</v>
          </cell>
        </row>
        <row r="22">
          <cell r="A22" t="str">
            <v>5242</v>
          </cell>
          <cell r="B22" t="str">
            <v> ΄Εσοδα υπέρ Τ.Σ.Α.Υ.</v>
          </cell>
        </row>
      </sheetData>
      <sheetData sheetId="15">
        <row r="3">
          <cell r="B3">
            <v>2010</v>
          </cell>
        </row>
        <row r="5">
          <cell r="B5" t="str">
            <v>Γράφτηκε πίστωση</v>
          </cell>
        </row>
        <row r="7">
          <cell r="B7" t="str">
            <v>Στον Κ.Α</v>
          </cell>
        </row>
        <row r="11">
          <cell r="B11" t="str">
            <v>Κωδικός Αριθμός</v>
          </cell>
        </row>
        <row r="12">
          <cell r="B12" t="str">
            <v>Κατονομασία</v>
          </cell>
        </row>
        <row r="13">
          <cell r="B13" t="str">
            <v>Προβλέψεις για το </v>
          </cell>
        </row>
        <row r="14">
          <cell r="B14" t="str">
            <v> σε ΕΥΡΩ</v>
          </cell>
        </row>
        <row r="15">
          <cell r="B15" t="str">
            <v>Διαμόρφωση Προϋπολογισμού 2009</v>
          </cell>
        </row>
        <row r="16">
          <cell r="B16" t="str">
            <v>Εκτίμηση Πραγμ/σεων έως 31-12-2009</v>
          </cell>
        </row>
        <row r="17">
          <cell r="B17" t="str">
            <v>Απολογιστικά έτους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A8"/>
  <sheetViews>
    <sheetView zoomScalePageLayoutView="0" workbookViewId="0" topLeftCell="A1">
      <selection activeCell="A8" sqref="A8"/>
    </sheetView>
  </sheetViews>
  <sheetFormatPr defaultColWidth="9.00390625" defaultRowHeight="12.75"/>
  <cols>
    <col min="1" max="1" width="89.75390625" style="0" customWidth="1"/>
  </cols>
  <sheetData>
    <row r="4" ht="42.75" customHeight="1">
      <c r="A4" s="186" t="s">
        <v>106</v>
      </c>
    </row>
    <row r="5" ht="63" customHeight="1">
      <c r="A5" s="186" t="s">
        <v>107</v>
      </c>
    </row>
    <row r="6" ht="45" customHeight="1">
      <c r="A6" s="186" t="s">
        <v>641</v>
      </c>
    </row>
    <row r="7" ht="51.75" customHeight="1">
      <c r="A7" s="186" t="s">
        <v>642</v>
      </c>
    </row>
    <row r="8" ht="45.75" customHeight="1">
      <c r="A8" s="186" t="str">
        <f>"ΟΙΚ. ΕΤΟΥΣ "&amp;ΠΑΡΑΜΕΤΡΟΙ!B3</f>
        <v>ΟΙΚ. ΕΤΟΥΣ 2017</v>
      </c>
    </row>
  </sheetData>
  <sheetProtection/>
  <printOptions horizontalCentered="1"/>
  <pageMargins left="2.6377952755905514" right="2.283464566929134" top="1.7716535433070868"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4"/>
  <sheetViews>
    <sheetView zoomScalePageLayoutView="0" workbookViewId="0" topLeftCell="A1">
      <selection activeCell="D13" sqref="D13"/>
    </sheetView>
  </sheetViews>
  <sheetFormatPr defaultColWidth="9.00390625" defaultRowHeight="12.75"/>
  <cols>
    <col min="3" max="3" width="20.75390625" style="0" customWidth="1"/>
    <col min="4" max="4" width="21.00390625" style="0" customWidth="1"/>
    <col min="5" max="5" width="22.125" style="0" customWidth="1"/>
    <col min="6" max="6" width="21.625" style="0" customWidth="1"/>
  </cols>
  <sheetData>
    <row r="1" s="94" customFormat="1" ht="12.75">
      <c r="A1" s="94" t="s">
        <v>42</v>
      </c>
    </row>
    <row r="2" spans="2:6" s="94" customFormat="1" ht="12.75">
      <c r="B2" s="94" t="s">
        <v>24</v>
      </c>
      <c r="C2" s="95" t="e">
        <f>εσοδα!H68+#REF!</f>
        <v>#REF!</v>
      </c>
      <c r="D2" s="95" t="e">
        <f>εσοδα!#REF!+#REF!</f>
        <v>#REF!</v>
      </c>
      <c r="E2" s="95" t="e">
        <f>εσοδα!I68+#REF!</f>
        <v>#REF!</v>
      </c>
      <c r="F2" s="95" t="e">
        <f>εσοδα!K68+#REF!</f>
        <v>#REF!</v>
      </c>
    </row>
    <row r="3" s="94" customFormat="1" ht="12.75"/>
    <row r="4" spans="2:6" s="94" customFormat="1" ht="12.75">
      <c r="B4" s="94" t="s">
        <v>25</v>
      </c>
      <c r="C4" s="95" t="e">
        <f>εξοδα!H244+#REF!</f>
        <v>#REF!</v>
      </c>
      <c r="D4" s="95" t="e">
        <f>εξοδα!I244+#REF!</f>
        <v>#REF!</v>
      </c>
      <c r="E4" s="95" t="e">
        <f>εξοδα!J244+#REF!</f>
        <v>#REF!</v>
      </c>
      <c r="F4" s="95" t="e">
        <f>εξοδα!#REF!+#REF!</f>
        <v>#REF!</v>
      </c>
    </row>
    <row r="5" s="94" customFormat="1" ht="12.75"/>
  </sheetData>
  <sheetProtection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H43" sqref="H43"/>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81"/>
  <sheetViews>
    <sheetView tabSelected="1" zoomScale="120" zoomScaleNormal="120" zoomScalePageLayoutView="0" workbookViewId="0" topLeftCell="A1">
      <pane ySplit="7" topLeftCell="A11" activePane="bottomLeft" state="frozen"/>
      <selection pane="topLeft" activeCell="A1" sqref="A1"/>
      <selection pane="bottomLeft" activeCell="G22" sqref="G22"/>
    </sheetView>
  </sheetViews>
  <sheetFormatPr defaultColWidth="9.00390625" defaultRowHeight="12.75"/>
  <cols>
    <col min="1" max="3" width="4.625" style="0" customWidth="1"/>
    <col min="4" max="4" width="5.75390625" style="0" customWidth="1"/>
    <col min="5" max="5" width="0.2421875" style="0" customWidth="1"/>
    <col min="6" max="6" width="62.25390625" style="0" customWidth="1"/>
    <col min="7" max="7" width="16.875" style="0" customWidth="1"/>
    <col min="8" max="8" width="15.875" style="0" customWidth="1"/>
    <col min="9" max="9" width="13.75390625" style="0" hidden="1" customWidth="1"/>
    <col min="10" max="11" width="13.75390625" style="0" customWidth="1"/>
    <col min="12" max="12" width="12.125" style="0" customWidth="1"/>
  </cols>
  <sheetData>
    <row r="1" spans="1:11" ht="12.75">
      <c r="A1" s="1" t="s">
        <v>410</v>
      </c>
      <c r="B1" s="2"/>
      <c r="C1" s="2"/>
      <c r="D1" s="3"/>
      <c r="E1" s="3"/>
      <c r="F1" s="4"/>
      <c r="G1" s="4"/>
      <c r="H1" s="5"/>
      <c r="I1" s="5"/>
      <c r="J1" s="5"/>
      <c r="K1" s="6"/>
    </row>
    <row r="2" spans="1:11" ht="12.75">
      <c r="A2" s="7" t="s">
        <v>672</v>
      </c>
      <c r="B2" s="3"/>
      <c r="C2" s="3"/>
      <c r="D2" s="3"/>
      <c r="E2" s="3"/>
      <c r="F2" s="8"/>
      <c r="G2" s="8"/>
      <c r="H2" s="8"/>
      <c r="I2" s="8"/>
      <c r="J2" s="8"/>
      <c r="K2" s="6"/>
    </row>
    <row r="3" spans="1:11" ht="12.75">
      <c r="A3" s="7" t="s">
        <v>1</v>
      </c>
      <c r="B3" s="8"/>
      <c r="C3" s="8"/>
      <c r="D3" s="8"/>
      <c r="E3" s="8"/>
      <c r="F3" s="8"/>
      <c r="G3" s="8"/>
      <c r="H3" s="8"/>
      <c r="I3" s="8"/>
      <c r="J3" s="8"/>
      <c r="K3" s="6"/>
    </row>
    <row r="4" spans="1:11" ht="12.75">
      <c r="A4" s="7"/>
      <c r="B4" s="8"/>
      <c r="C4" s="8"/>
      <c r="D4" s="61"/>
      <c r="E4" s="61"/>
      <c r="F4" s="62"/>
      <c r="G4" s="62"/>
      <c r="H4" s="8"/>
      <c r="I4" s="8"/>
      <c r="J4" s="8"/>
      <c r="K4" s="6"/>
    </row>
    <row r="5" spans="1:11" ht="12.75">
      <c r="A5" s="199" t="s">
        <v>695</v>
      </c>
      <c r="B5" s="199"/>
      <c r="C5" s="199"/>
      <c r="D5" s="199"/>
      <c r="E5" s="199"/>
      <c r="F5" s="199"/>
      <c r="G5" s="199"/>
      <c r="H5" s="199"/>
      <c r="I5" s="199"/>
      <c r="J5" s="199"/>
      <c r="K5" s="199"/>
    </row>
    <row r="6" spans="1:11" ht="13.5" thickBot="1">
      <c r="A6" s="8"/>
      <c r="B6" s="8"/>
      <c r="C6" s="8"/>
      <c r="D6" s="8"/>
      <c r="E6" s="8"/>
      <c r="F6" s="8"/>
      <c r="G6" s="8"/>
      <c r="H6" s="8"/>
      <c r="I6" s="8"/>
      <c r="J6" s="8"/>
      <c r="K6" s="6"/>
    </row>
    <row r="7" spans="1:11" ht="36">
      <c r="A7" s="200" t="s">
        <v>411</v>
      </c>
      <c r="B7" s="201"/>
      <c r="C7" s="201"/>
      <c r="D7" s="201"/>
      <c r="E7" s="201"/>
      <c r="F7" s="11" t="s">
        <v>412</v>
      </c>
      <c r="G7" s="11" t="s">
        <v>696</v>
      </c>
      <c r="H7" s="12" t="s">
        <v>697</v>
      </c>
      <c r="I7" s="12" t="s">
        <v>481</v>
      </c>
      <c r="J7" s="102" t="s">
        <v>698</v>
      </c>
      <c r="K7" s="13" t="s">
        <v>699</v>
      </c>
    </row>
    <row r="8" spans="1:11" ht="12.75">
      <c r="A8" s="63"/>
      <c r="B8" s="64"/>
      <c r="C8" s="64"/>
      <c r="D8" s="64"/>
      <c r="E8" s="64"/>
      <c r="F8" s="65"/>
      <c r="G8" s="187"/>
      <c r="H8" s="187"/>
      <c r="I8" s="66"/>
      <c r="J8" s="187"/>
      <c r="K8" s="66"/>
    </row>
    <row r="9" spans="1:11" ht="12.75">
      <c r="A9" s="63" t="s">
        <v>44</v>
      </c>
      <c r="B9" s="64"/>
      <c r="C9" s="64"/>
      <c r="D9" s="64"/>
      <c r="E9" s="64"/>
      <c r="F9" s="65" t="s">
        <v>45</v>
      </c>
      <c r="G9" s="66">
        <f aca="true" t="shared" si="0" ref="G9:J11">G10</f>
        <v>1004000</v>
      </c>
      <c r="H9" s="66">
        <f t="shared" si="0"/>
        <v>1004000</v>
      </c>
      <c r="I9" s="66">
        <f aca="true" t="shared" si="1" ref="I9:K11">I10</f>
        <v>0</v>
      </c>
      <c r="J9" s="66">
        <f t="shared" si="0"/>
        <v>1004000</v>
      </c>
      <c r="K9" s="66">
        <f t="shared" si="1"/>
        <v>828859.92</v>
      </c>
    </row>
    <row r="10" spans="1:11" ht="12.75">
      <c r="A10" s="67"/>
      <c r="B10" s="22" t="s">
        <v>91</v>
      </c>
      <c r="C10" s="22"/>
      <c r="D10" s="22"/>
      <c r="E10" s="22"/>
      <c r="F10" s="24" t="s">
        <v>46</v>
      </c>
      <c r="G10" s="25">
        <f t="shared" si="0"/>
        <v>1004000</v>
      </c>
      <c r="H10" s="25">
        <f t="shared" si="0"/>
        <v>1004000</v>
      </c>
      <c r="I10" s="25">
        <f t="shared" si="1"/>
        <v>0</v>
      </c>
      <c r="J10" s="25">
        <f t="shared" si="0"/>
        <v>1004000</v>
      </c>
      <c r="K10" s="25">
        <f t="shared" si="1"/>
        <v>828859.92</v>
      </c>
    </row>
    <row r="11" spans="1:11" ht="12.75">
      <c r="A11" s="68"/>
      <c r="B11" s="27"/>
      <c r="C11" s="27" t="s">
        <v>47</v>
      </c>
      <c r="D11" s="27"/>
      <c r="E11" s="27"/>
      <c r="F11" s="29" t="s">
        <v>48</v>
      </c>
      <c r="G11" s="30">
        <f t="shared" si="0"/>
        <v>1004000</v>
      </c>
      <c r="H11" s="30">
        <f t="shared" si="0"/>
        <v>1004000</v>
      </c>
      <c r="I11" s="30">
        <f t="shared" si="1"/>
        <v>0</v>
      </c>
      <c r="J11" s="30">
        <f t="shared" si="0"/>
        <v>1004000</v>
      </c>
      <c r="K11" s="30">
        <f t="shared" si="1"/>
        <v>828859.92</v>
      </c>
    </row>
    <row r="12" spans="1:11" ht="12.75">
      <c r="A12" s="69"/>
      <c r="B12" s="70"/>
      <c r="C12" s="70"/>
      <c r="D12" s="70" t="s">
        <v>50</v>
      </c>
      <c r="E12" s="70"/>
      <c r="F12" s="37" t="s">
        <v>51</v>
      </c>
      <c r="G12" s="99">
        <v>1004000</v>
      </c>
      <c r="H12" s="99">
        <v>1004000</v>
      </c>
      <c r="I12" s="99"/>
      <c r="J12" s="99">
        <v>1004000</v>
      </c>
      <c r="K12" s="99">
        <v>828859.92</v>
      </c>
    </row>
    <row r="13" spans="1:11" ht="12.75">
      <c r="A13" s="63" t="s">
        <v>60</v>
      </c>
      <c r="B13" s="64"/>
      <c r="C13" s="64"/>
      <c r="D13" s="64"/>
      <c r="E13" s="64"/>
      <c r="F13" s="65" t="s">
        <v>61</v>
      </c>
      <c r="G13" s="66">
        <f>G14</f>
        <v>140000</v>
      </c>
      <c r="H13" s="66">
        <f>H14</f>
        <v>140000</v>
      </c>
      <c r="I13" s="66">
        <f>I14</f>
        <v>0</v>
      </c>
      <c r="J13" s="66">
        <f>J14</f>
        <v>140000</v>
      </c>
      <c r="K13" s="66">
        <f>K14</f>
        <v>139746.59</v>
      </c>
    </row>
    <row r="14" spans="1:11" ht="12.75">
      <c r="A14" s="67"/>
      <c r="B14" s="22" t="s">
        <v>221</v>
      </c>
      <c r="C14" s="22"/>
      <c r="D14" s="22"/>
      <c r="E14" s="22"/>
      <c r="F14" s="24" t="s">
        <v>62</v>
      </c>
      <c r="G14" s="25">
        <f>G15</f>
        <v>140000</v>
      </c>
      <c r="H14" s="25">
        <f>H15</f>
        <v>140000</v>
      </c>
      <c r="I14" s="25">
        <f aca="true" t="shared" si="2" ref="I14:K15">I15</f>
        <v>0</v>
      </c>
      <c r="J14" s="25">
        <f>J15</f>
        <v>140000</v>
      </c>
      <c r="K14" s="25">
        <f t="shared" si="2"/>
        <v>139746.59</v>
      </c>
    </row>
    <row r="15" spans="1:11" ht="12.75">
      <c r="A15" s="68"/>
      <c r="B15" s="27"/>
      <c r="C15" s="27" t="s">
        <v>63</v>
      </c>
      <c r="D15" s="27"/>
      <c r="E15" s="27"/>
      <c r="F15" s="29" t="s">
        <v>64</v>
      </c>
      <c r="G15" s="30">
        <f>G16</f>
        <v>140000</v>
      </c>
      <c r="H15" s="30">
        <f>H16</f>
        <v>140000</v>
      </c>
      <c r="I15" s="30">
        <f t="shared" si="2"/>
        <v>0</v>
      </c>
      <c r="J15" s="30">
        <f>J16</f>
        <v>140000</v>
      </c>
      <c r="K15" s="30">
        <f t="shared" si="2"/>
        <v>139746.59</v>
      </c>
    </row>
    <row r="16" spans="1:11" ht="12.75">
      <c r="A16" s="69"/>
      <c r="B16" s="36"/>
      <c r="C16" s="36"/>
      <c r="D16" s="36" t="s">
        <v>65</v>
      </c>
      <c r="E16" s="36"/>
      <c r="F16" s="71" t="s">
        <v>66</v>
      </c>
      <c r="G16" s="188">
        <v>140000</v>
      </c>
      <c r="H16" s="188">
        <v>140000</v>
      </c>
      <c r="I16" s="38"/>
      <c r="J16" s="188">
        <v>140000</v>
      </c>
      <c r="K16" s="38">
        <v>139746.59</v>
      </c>
    </row>
    <row r="17" spans="1:11" ht="12.75">
      <c r="A17" s="63" t="s">
        <v>67</v>
      </c>
      <c r="B17" s="64"/>
      <c r="C17" s="64"/>
      <c r="D17" s="64"/>
      <c r="E17" s="64"/>
      <c r="F17" s="65" t="s">
        <v>68</v>
      </c>
      <c r="G17" s="66">
        <f>G20</f>
        <v>2000</v>
      </c>
      <c r="H17" s="66">
        <f>H20</f>
        <v>2000</v>
      </c>
      <c r="I17" s="66">
        <f>I18</f>
        <v>0</v>
      </c>
      <c r="J17" s="66">
        <f>J20</f>
        <v>2000</v>
      </c>
      <c r="K17" s="66">
        <f>K18</f>
        <v>1241.63</v>
      </c>
    </row>
    <row r="18" spans="1:11" ht="12.75">
      <c r="A18" s="67"/>
      <c r="B18" s="22" t="s">
        <v>69</v>
      </c>
      <c r="C18" s="22"/>
      <c r="D18" s="22"/>
      <c r="E18" s="22"/>
      <c r="F18" s="24" t="s">
        <v>70</v>
      </c>
      <c r="G18" s="25">
        <f>G19</f>
        <v>2000</v>
      </c>
      <c r="H18" s="25">
        <f>H19</f>
        <v>2000</v>
      </c>
      <c r="I18" s="25">
        <f aca="true" t="shared" si="3" ref="I18:K19">I19</f>
        <v>0</v>
      </c>
      <c r="J18" s="25">
        <f>J19</f>
        <v>2000</v>
      </c>
      <c r="K18" s="25">
        <f t="shared" si="3"/>
        <v>1241.63</v>
      </c>
    </row>
    <row r="19" spans="1:11" ht="12.75">
      <c r="A19" s="68"/>
      <c r="B19" s="27"/>
      <c r="C19" s="27" t="s">
        <v>71</v>
      </c>
      <c r="D19" s="27"/>
      <c r="E19" s="27"/>
      <c r="F19" s="29" t="s">
        <v>72</v>
      </c>
      <c r="G19" s="30">
        <f>G20</f>
        <v>2000</v>
      </c>
      <c r="H19" s="30">
        <f>H20</f>
        <v>2000</v>
      </c>
      <c r="I19" s="30">
        <f t="shared" si="3"/>
        <v>0</v>
      </c>
      <c r="J19" s="30">
        <f>J20</f>
        <v>2000</v>
      </c>
      <c r="K19" s="30">
        <f t="shared" si="3"/>
        <v>1241.63</v>
      </c>
    </row>
    <row r="20" spans="1:11" ht="12.75">
      <c r="A20" s="69"/>
      <c r="B20" s="36"/>
      <c r="C20" s="36"/>
      <c r="D20" s="36" t="s">
        <v>73</v>
      </c>
      <c r="E20" s="36"/>
      <c r="F20" s="47" t="s">
        <v>74</v>
      </c>
      <c r="G20" s="38">
        <v>2000</v>
      </c>
      <c r="H20" s="38">
        <v>2000</v>
      </c>
      <c r="I20" s="38"/>
      <c r="J20" s="38">
        <v>2000</v>
      </c>
      <c r="K20" s="38">
        <v>1241.63</v>
      </c>
    </row>
    <row r="21" spans="1:11" ht="12.75">
      <c r="A21" s="63" t="s">
        <v>75</v>
      </c>
      <c r="B21" s="64"/>
      <c r="C21" s="64"/>
      <c r="D21" s="64"/>
      <c r="E21" s="64"/>
      <c r="F21" s="65" t="s">
        <v>683</v>
      </c>
      <c r="G21" s="66">
        <f>G22+G27+G30+G35</f>
        <v>5147000</v>
      </c>
      <c r="H21" s="66">
        <f>H22+H27+H30+H35</f>
        <v>5140000</v>
      </c>
      <c r="I21" s="66">
        <f>I22+I27+I30+I35</f>
        <v>0</v>
      </c>
      <c r="J21" s="66">
        <f>J22+J27+J30+J35</f>
        <v>5286000</v>
      </c>
      <c r="K21" s="66">
        <f>K22+K27+K30+K35</f>
        <v>4820680.36</v>
      </c>
    </row>
    <row r="22" spans="1:11" ht="12.75">
      <c r="A22" s="67"/>
      <c r="B22" s="22" t="s">
        <v>595</v>
      </c>
      <c r="C22" s="22"/>
      <c r="D22" s="22"/>
      <c r="E22" s="22"/>
      <c r="F22" s="24" t="s">
        <v>76</v>
      </c>
      <c r="G22" s="25">
        <f>G23+G25</f>
        <v>4937000</v>
      </c>
      <c r="H22" s="25">
        <f>H23+H25</f>
        <v>4571000</v>
      </c>
      <c r="I22" s="25">
        <f>I23+I25</f>
        <v>0</v>
      </c>
      <c r="J22" s="25">
        <f>J23+J25</f>
        <v>4571000</v>
      </c>
      <c r="K22" s="25">
        <f>K23+K25</f>
        <v>4182659.0900000003</v>
      </c>
    </row>
    <row r="23" spans="1:11" ht="12.75">
      <c r="A23" s="68"/>
      <c r="B23" s="27"/>
      <c r="C23" s="27" t="s">
        <v>461</v>
      </c>
      <c r="D23" s="27"/>
      <c r="E23" s="27"/>
      <c r="F23" s="29" t="s">
        <v>462</v>
      </c>
      <c r="G23" s="30">
        <f>G24</f>
        <v>4827000</v>
      </c>
      <c r="H23" s="30">
        <f>H24</f>
        <v>4531000</v>
      </c>
      <c r="I23" s="30">
        <f>I24</f>
        <v>0</v>
      </c>
      <c r="J23" s="30">
        <f>J24</f>
        <v>4531000</v>
      </c>
      <c r="K23" s="30">
        <f>K24</f>
        <v>4137535.12</v>
      </c>
    </row>
    <row r="24" spans="1:11" ht="12.75">
      <c r="A24" s="69"/>
      <c r="B24" s="36"/>
      <c r="C24" s="36"/>
      <c r="D24" s="36" t="s">
        <v>463</v>
      </c>
      <c r="E24" s="36"/>
      <c r="F24" s="47" t="s">
        <v>464</v>
      </c>
      <c r="G24" s="38">
        <v>4827000</v>
      </c>
      <c r="H24" s="38">
        <v>4531000</v>
      </c>
      <c r="I24" s="38"/>
      <c r="J24" s="38">
        <v>4531000</v>
      </c>
      <c r="K24" s="38">
        <v>4137535.12</v>
      </c>
    </row>
    <row r="25" spans="1:11" ht="12.75">
      <c r="A25" s="68"/>
      <c r="B25" s="27"/>
      <c r="C25" s="27" t="s">
        <v>465</v>
      </c>
      <c r="D25" s="27"/>
      <c r="E25" s="27"/>
      <c r="F25" s="29" t="s">
        <v>466</v>
      </c>
      <c r="G25" s="30">
        <f>G26</f>
        <v>110000</v>
      </c>
      <c r="H25" s="30">
        <f>H26</f>
        <v>40000</v>
      </c>
      <c r="I25" s="30">
        <f>I26</f>
        <v>0</v>
      </c>
      <c r="J25" s="30">
        <f>J26</f>
        <v>40000</v>
      </c>
      <c r="K25" s="30">
        <f>K26</f>
        <v>45123.97</v>
      </c>
    </row>
    <row r="26" spans="1:11" ht="12.75">
      <c r="A26" s="69"/>
      <c r="B26" s="36"/>
      <c r="C26" s="36"/>
      <c r="D26" s="36" t="s">
        <v>467</v>
      </c>
      <c r="E26" s="36"/>
      <c r="F26" s="47" t="s">
        <v>468</v>
      </c>
      <c r="G26" s="38">
        <v>110000</v>
      </c>
      <c r="H26" s="38">
        <v>40000</v>
      </c>
      <c r="I26" s="38"/>
      <c r="J26" s="38">
        <v>40000</v>
      </c>
      <c r="K26" s="38">
        <v>45123.97</v>
      </c>
    </row>
    <row r="27" spans="1:11" ht="12.75">
      <c r="A27" s="67"/>
      <c r="B27" s="22" t="s">
        <v>469</v>
      </c>
      <c r="C27" s="22"/>
      <c r="D27" s="22"/>
      <c r="E27" s="22"/>
      <c r="F27" s="24" t="s">
        <v>76</v>
      </c>
      <c r="G27" s="25">
        <f>G28</f>
        <v>0</v>
      </c>
      <c r="H27" s="25">
        <f>H28</f>
        <v>470000</v>
      </c>
      <c r="I27" s="25">
        <f aca="true" t="shared" si="4" ref="I27:K28">I28</f>
        <v>0</v>
      </c>
      <c r="J27" s="25">
        <f>J28</f>
        <v>470000</v>
      </c>
      <c r="K27" s="25">
        <f t="shared" si="4"/>
        <v>546914.41</v>
      </c>
    </row>
    <row r="28" spans="1:11" ht="12.75">
      <c r="A28" s="68"/>
      <c r="B28" s="27"/>
      <c r="C28" s="27" t="s">
        <v>470</v>
      </c>
      <c r="D28" s="27"/>
      <c r="E28" s="27"/>
      <c r="F28" s="29" t="s">
        <v>471</v>
      </c>
      <c r="G28" s="30">
        <f>G29</f>
        <v>0</v>
      </c>
      <c r="H28" s="30">
        <f>H29</f>
        <v>470000</v>
      </c>
      <c r="I28" s="30">
        <f t="shared" si="4"/>
        <v>0</v>
      </c>
      <c r="J28" s="30">
        <f>J29</f>
        <v>470000</v>
      </c>
      <c r="K28" s="30">
        <f t="shared" si="4"/>
        <v>546914.41</v>
      </c>
    </row>
    <row r="29" spans="1:11" ht="12.75">
      <c r="A29" s="69"/>
      <c r="B29" s="36"/>
      <c r="C29" s="36"/>
      <c r="D29" s="36" t="s">
        <v>472</v>
      </c>
      <c r="E29" s="36"/>
      <c r="F29" s="47" t="s">
        <v>473</v>
      </c>
      <c r="G29" s="38">
        <v>0</v>
      </c>
      <c r="H29" s="38">
        <v>470000</v>
      </c>
      <c r="I29" s="38"/>
      <c r="J29" s="38">
        <v>470000</v>
      </c>
      <c r="K29" s="38">
        <v>546914.41</v>
      </c>
    </row>
    <row r="30" spans="1:11" ht="12.75">
      <c r="A30" s="67"/>
      <c r="B30" s="22" t="s">
        <v>474</v>
      </c>
      <c r="C30" s="22"/>
      <c r="D30" s="22"/>
      <c r="E30" s="22"/>
      <c r="F30" s="24" t="s">
        <v>475</v>
      </c>
      <c r="G30" s="25">
        <f>G31</f>
        <v>180000</v>
      </c>
      <c r="H30" s="25">
        <f>H31</f>
        <v>74000</v>
      </c>
      <c r="I30" s="25">
        <f>I31</f>
        <v>0</v>
      </c>
      <c r="J30" s="25">
        <f>J31</f>
        <v>220000</v>
      </c>
      <c r="K30" s="25">
        <f>K31</f>
        <v>74725.32</v>
      </c>
    </row>
    <row r="31" spans="1:11" ht="12.75">
      <c r="A31" s="68"/>
      <c r="B31" s="27"/>
      <c r="C31" s="27" t="s">
        <v>476</v>
      </c>
      <c r="D31" s="27"/>
      <c r="E31" s="27"/>
      <c r="F31" s="29" t="s">
        <v>477</v>
      </c>
      <c r="G31" s="30">
        <f>SUM(G32:G34)</f>
        <v>180000</v>
      </c>
      <c r="H31" s="30">
        <f>SUM(H32:H34)</f>
        <v>74000</v>
      </c>
      <c r="I31" s="30">
        <f>SUM(I32:I34)</f>
        <v>0</v>
      </c>
      <c r="J31" s="30">
        <f>SUM(J32:J34)</f>
        <v>220000</v>
      </c>
      <c r="K31" s="30">
        <f>SUM(K32:K34)</f>
        <v>74725.32</v>
      </c>
    </row>
    <row r="32" spans="1:11" ht="12.75">
      <c r="A32" s="69"/>
      <c r="B32" s="36"/>
      <c r="C32" s="36"/>
      <c r="D32" s="36" t="s">
        <v>478</v>
      </c>
      <c r="E32" s="36"/>
      <c r="F32" s="47" t="s">
        <v>479</v>
      </c>
      <c r="G32" s="38">
        <v>180000</v>
      </c>
      <c r="H32" s="38">
        <v>30000</v>
      </c>
      <c r="I32" s="38"/>
      <c r="J32" s="38">
        <v>176000</v>
      </c>
      <c r="K32" s="38">
        <v>74725.32</v>
      </c>
    </row>
    <row r="33" spans="1:11" ht="12.75">
      <c r="A33" s="69"/>
      <c r="B33" s="36"/>
      <c r="C33" s="36"/>
      <c r="D33" s="36" t="s">
        <v>482</v>
      </c>
      <c r="E33" s="36"/>
      <c r="F33" s="47" t="s">
        <v>483</v>
      </c>
      <c r="G33" s="38"/>
      <c r="H33" s="38">
        <v>4000</v>
      </c>
      <c r="I33" s="38"/>
      <c r="J33" s="38">
        <v>4000</v>
      </c>
      <c r="K33" s="38"/>
    </row>
    <row r="34" spans="1:11" ht="12.75">
      <c r="A34" s="69"/>
      <c r="B34" s="36"/>
      <c r="C34" s="36"/>
      <c r="D34" s="36" t="s">
        <v>484</v>
      </c>
      <c r="E34" s="36"/>
      <c r="F34" s="47" t="s">
        <v>99</v>
      </c>
      <c r="G34" s="38"/>
      <c r="H34" s="38">
        <v>40000</v>
      </c>
      <c r="I34" s="38"/>
      <c r="J34" s="38">
        <v>40000</v>
      </c>
      <c r="K34" s="38"/>
    </row>
    <row r="35" spans="1:11" ht="12.75">
      <c r="A35" s="67"/>
      <c r="B35" s="22" t="s">
        <v>100</v>
      </c>
      <c r="C35" s="22"/>
      <c r="D35" s="22"/>
      <c r="E35" s="22"/>
      <c r="F35" s="24" t="s">
        <v>101</v>
      </c>
      <c r="G35" s="25">
        <f>G36</f>
        <v>30000</v>
      </c>
      <c r="H35" s="25">
        <f>H36</f>
        <v>25000</v>
      </c>
      <c r="I35" s="25">
        <f>I36</f>
        <v>0</v>
      </c>
      <c r="J35" s="25">
        <f>J36</f>
        <v>25000</v>
      </c>
      <c r="K35" s="25">
        <f>K36</f>
        <v>16381.54</v>
      </c>
    </row>
    <row r="36" spans="1:11" ht="12.75">
      <c r="A36" s="68"/>
      <c r="B36" s="27"/>
      <c r="C36" s="27" t="s">
        <v>102</v>
      </c>
      <c r="D36" s="27"/>
      <c r="E36" s="27"/>
      <c r="F36" s="29" t="s">
        <v>103</v>
      </c>
      <c r="G36" s="30">
        <f>SUM(G37:G37)</f>
        <v>30000</v>
      </c>
      <c r="H36" s="30">
        <f>SUM(H37:H37)</f>
        <v>25000</v>
      </c>
      <c r="I36" s="30">
        <f>SUM(I37:I37)</f>
        <v>0</v>
      </c>
      <c r="J36" s="30">
        <f>SUM(J37:J37)</f>
        <v>25000</v>
      </c>
      <c r="K36" s="30">
        <f>SUM(K37:K37)</f>
        <v>16381.54</v>
      </c>
    </row>
    <row r="37" spans="1:11" ht="12.75">
      <c r="A37" s="69"/>
      <c r="B37" s="36"/>
      <c r="C37" s="36"/>
      <c r="D37" s="36" t="s">
        <v>104</v>
      </c>
      <c r="E37" s="36"/>
      <c r="F37" s="47" t="s">
        <v>105</v>
      </c>
      <c r="G37" s="38">
        <v>30000</v>
      </c>
      <c r="H37" s="38">
        <v>25000</v>
      </c>
      <c r="I37" s="38"/>
      <c r="J37" s="38">
        <v>25000</v>
      </c>
      <c r="K37" s="38">
        <v>16381.54</v>
      </c>
    </row>
    <row r="38" spans="1:11" ht="12.75">
      <c r="A38" s="63" t="s">
        <v>338</v>
      </c>
      <c r="B38" s="64"/>
      <c r="C38" s="64"/>
      <c r="D38" s="64"/>
      <c r="E38" s="64"/>
      <c r="F38" s="65" t="s">
        <v>339</v>
      </c>
      <c r="G38" s="66">
        <f>G39+G45+G49</f>
        <v>492000</v>
      </c>
      <c r="H38" s="66">
        <f>H39+H45+H49</f>
        <v>285000</v>
      </c>
      <c r="I38" s="66">
        <f>I39+I45+I49</f>
        <v>0</v>
      </c>
      <c r="J38" s="66">
        <f>J39+J45+J49</f>
        <v>285000</v>
      </c>
      <c r="K38" s="66">
        <f>K39+K45+K49</f>
        <v>180608.80000000002</v>
      </c>
    </row>
    <row r="39" spans="1:11" ht="12.75">
      <c r="A39" s="67"/>
      <c r="B39" s="22" t="s">
        <v>340</v>
      </c>
      <c r="C39" s="22"/>
      <c r="D39" s="22"/>
      <c r="E39" s="22"/>
      <c r="F39" s="24" t="s">
        <v>341</v>
      </c>
      <c r="G39" s="25">
        <f>G40+G42</f>
        <v>167000</v>
      </c>
      <c r="H39" s="25">
        <f>H40+H42</f>
        <v>167000</v>
      </c>
      <c r="I39" s="25">
        <f>I40+I42</f>
        <v>0</v>
      </c>
      <c r="J39" s="25">
        <f>J40+J42</f>
        <v>167000</v>
      </c>
      <c r="K39" s="25">
        <f>K40+K42</f>
        <v>159287.85</v>
      </c>
    </row>
    <row r="40" spans="1:11" ht="12.75">
      <c r="A40" s="68"/>
      <c r="B40" s="27"/>
      <c r="C40" s="27" t="s">
        <v>342</v>
      </c>
      <c r="D40" s="27"/>
      <c r="E40" s="27"/>
      <c r="F40" s="29" t="s">
        <v>409</v>
      </c>
      <c r="G40" s="30">
        <f>G41</f>
        <v>5000</v>
      </c>
      <c r="H40" s="30">
        <f>H41</f>
        <v>15000</v>
      </c>
      <c r="I40" s="30">
        <f>I41</f>
        <v>0</v>
      </c>
      <c r="J40" s="30">
        <f>J41</f>
        <v>15000</v>
      </c>
      <c r="K40" s="30">
        <f>K41</f>
        <v>20978.29</v>
      </c>
    </row>
    <row r="41" spans="1:11" ht="12.75">
      <c r="A41" s="69"/>
      <c r="B41" s="36"/>
      <c r="C41" s="36"/>
      <c r="D41" s="36" t="s">
        <v>343</v>
      </c>
      <c r="E41" s="36"/>
      <c r="F41" s="47" t="s">
        <v>344</v>
      </c>
      <c r="G41" s="38">
        <v>5000</v>
      </c>
      <c r="H41" s="38">
        <v>15000</v>
      </c>
      <c r="I41" s="38"/>
      <c r="J41" s="38">
        <v>15000</v>
      </c>
      <c r="K41" s="38">
        <v>20978.29</v>
      </c>
    </row>
    <row r="42" spans="1:11" ht="12.75">
      <c r="A42" s="68"/>
      <c r="B42" s="27"/>
      <c r="C42" s="27" t="s">
        <v>345</v>
      </c>
      <c r="D42" s="27"/>
      <c r="E42" s="27"/>
      <c r="F42" s="29" t="s">
        <v>346</v>
      </c>
      <c r="G42" s="30">
        <f>G43+G44</f>
        <v>162000</v>
      </c>
      <c r="H42" s="30">
        <f>H43+H44</f>
        <v>152000</v>
      </c>
      <c r="I42" s="30">
        <f>I43+I44</f>
        <v>0</v>
      </c>
      <c r="J42" s="30">
        <f>J43+J44</f>
        <v>152000</v>
      </c>
      <c r="K42" s="30">
        <f>K43+K44</f>
        <v>138309.56</v>
      </c>
    </row>
    <row r="43" spans="1:11" ht="12.75">
      <c r="A43" s="69"/>
      <c r="B43" s="36"/>
      <c r="C43" s="36"/>
      <c r="D43" s="36" t="s">
        <v>347</v>
      </c>
      <c r="E43" s="36"/>
      <c r="F43" s="47" t="s">
        <v>348</v>
      </c>
      <c r="G43" s="38">
        <v>160000</v>
      </c>
      <c r="H43" s="38">
        <v>150000</v>
      </c>
      <c r="I43" s="38"/>
      <c r="J43" s="38">
        <v>150000</v>
      </c>
      <c r="K43" s="38">
        <v>136804.26</v>
      </c>
    </row>
    <row r="44" spans="1:11" ht="12.75">
      <c r="A44" s="69"/>
      <c r="B44" s="36"/>
      <c r="C44" s="36"/>
      <c r="D44" s="36" t="s">
        <v>776</v>
      </c>
      <c r="E44" s="36"/>
      <c r="F44" s="47" t="s">
        <v>704</v>
      </c>
      <c r="G44" s="38">
        <v>2000</v>
      </c>
      <c r="H44" s="38">
        <v>2000</v>
      </c>
      <c r="I44" s="38"/>
      <c r="J44" s="38">
        <v>2000</v>
      </c>
      <c r="K44" s="38">
        <v>1505.3</v>
      </c>
    </row>
    <row r="45" spans="1:11" ht="12.75">
      <c r="A45" s="67"/>
      <c r="B45" s="22" t="s">
        <v>27</v>
      </c>
      <c r="C45" s="22"/>
      <c r="D45" s="22"/>
      <c r="E45" s="22"/>
      <c r="F45" s="24" t="s">
        <v>28</v>
      </c>
      <c r="G45" s="25">
        <f>G46</f>
        <v>300000</v>
      </c>
      <c r="H45" s="25">
        <f>H46</f>
        <v>98000</v>
      </c>
      <c r="I45" s="25">
        <f>I46</f>
        <v>0</v>
      </c>
      <c r="J45" s="25">
        <f>J46</f>
        <v>98000</v>
      </c>
      <c r="K45" s="25">
        <f>K46</f>
        <v>14042.56</v>
      </c>
    </row>
    <row r="46" spans="1:11" ht="12.75">
      <c r="A46" s="68"/>
      <c r="B46" s="27"/>
      <c r="C46" s="27" t="s">
        <v>29</v>
      </c>
      <c r="D46" s="27"/>
      <c r="E46" s="27"/>
      <c r="F46" s="29" t="s">
        <v>30</v>
      </c>
      <c r="G46" s="30">
        <f>SUM(G47:G48)</f>
        <v>300000</v>
      </c>
      <c r="H46" s="30">
        <f>SUM(H47:H48)</f>
        <v>98000</v>
      </c>
      <c r="I46" s="30">
        <f>SUM(I47:I48)</f>
        <v>0</v>
      </c>
      <c r="J46" s="30">
        <f>SUM(J47:J48)</f>
        <v>98000</v>
      </c>
      <c r="K46" s="30">
        <f>SUM(K47:K48)</f>
        <v>14042.56</v>
      </c>
    </row>
    <row r="47" spans="1:11" ht="12.75">
      <c r="A47" s="69"/>
      <c r="B47" s="36"/>
      <c r="C47" s="36"/>
      <c r="D47" s="36" t="s">
        <v>31</v>
      </c>
      <c r="E47" s="36"/>
      <c r="F47" s="47" t="s">
        <v>32</v>
      </c>
      <c r="G47" s="38">
        <v>300000</v>
      </c>
      <c r="H47" s="38">
        <v>40000</v>
      </c>
      <c r="I47" s="38"/>
      <c r="J47" s="38">
        <v>40000</v>
      </c>
      <c r="K47" s="38">
        <v>14042.56</v>
      </c>
    </row>
    <row r="48" spans="1:11" ht="12.75">
      <c r="A48" s="69"/>
      <c r="B48" s="36"/>
      <c r="C48" s="36"/>
      <c r="D48" s="36" t="s">
        <v>33</v>
      </c>
      <c r="E48" s="36"/>
      <c r="F48" s="47" t="s">
        <v>34</v>
      </c>
      <c r="G48" s="38"/>
      <c r="H48" s="38">
        <v>58000</v>
      </c>
      <c r="I48" s="38"/>
      <c r="J48" s="38">
        <v>58000</v>
      </c>
      <c r="K48" s="38"/>
    </row>
    <row r="49" spans="1:11" ht="12.75">
      <c r="A49" s="67"/>
      <c r="B49" s="22" t="s">
        <v>35</v>
      </c>
      <c r="C49" s="22"/>
      <c r="D49" s="22"/>
      <c r="E49" s="22"/>
      <c r="F49" s="24" t="s">
        <v>36</v>
      </c>
      <c r="G49" s="25">
        <f>G50</f>
        <v>25000</v>
      </c>
      <c r="H49" s="25">
        <f>H50</f>
        <v>20000</v>
      </c>
      <c r="I49" s="25">
        <f>I50</f>
        <v>0</v>
      </c>
      <c r="J49" s="25">
        <f>J50</f>
        <v>20000</v>
      </c>
      <c r="K49" s="25">
        <f>K50</f>
        <v>7278.39</v>
      </c>
    </row>
    <row r="50" spans="1:11" ht="12.75">
      <c r="A50" s="68"/>
      <c r="B50" s="27"/>
      <c r="C50" s="27" t="s">
        <v>638</v>
      </c>
      <c r="D50" s="27"/>
      <c r="E50" s="27"/>
      <c r="F50" s="29" t="s">
        <v>37</v>
      </c>
      <c r="G50" s="30">
        <f>SUM(G51:G51)</f>
        <v>25000</v>
      </c>
      <c r="H50" s="30">
        <f>SUM(H51:H51)</f>
        <v>20000</v>
      </c>
      <c r="I50" s="30">
        <f>SUM(I51:I51)</f>
        <v>0</v>
      </c>
      <c r="J50" s="30">
        <f>SUM(J51:J51)</f>
        <v>20000</v>
      </c>
      <c r="K50" s="30">
        <f>SUM(K51:K51)</f>
        <v>7278.39</v>
      </c>
    </row>
    <row r="51" spans="1:11" ht="12.75">
      <c r="A51" s="69"/>
      <c r="B51" s="36"/>
      <c r="C51" s="36"/>
      <c r="D51" s="36" t="s">
        <v>639</v>
      </c>
      <c r="E51" s="36"/>
      <c r="F51" s="47" t="s">
        <v>640</v>
      </c>
      <c r="G51" s="38">
        <v>25000</v>
      </c>
      <c r="H51" s="38">
        <v>20000</v>
      </c>
      <c r="I51" s="38"/>
      <c r="J51" s="38">
        <v>20000</v>
      </c>
      <c r="K51" s="38">
        <v>7278.39</v>
      </c>
    </row>
    <row r="52" spans="1:11" ht="12.75">
      <c r="A52" s="63" t="s">
        <v>378</v>
      </c>
      <c r="B52" s="64"/>
      <c r="C52" s="64"/>
      <c r="D52" s="64"/>
      <c r="E52" s="64"/>
      <c r="F52" s="65" t="s">
        <v>379</v>
      </c>
      <c r="G52" s="66">
        <f aca="true" t="shared" si="5" ref="G52:K53">G53</f>
        <v>809000</v>
      </c>
      <c r="H52" s="66">
        <f t="shared" si="5"/>
        <v>1100000</v>
      </c>
      <c r="I52" s="66">
        <f t="shared" si="5"/>
        <v>0</v>
      </c>
      <c r="J52" s="66">
        <f t="shared" si="5"/>
        <v>1100000</v>
      </c>
      <c r="K52" s="66">
        <f t="shared" si="5"/>
        <v>5610.48</v>
      </c>
    </row>
    <row r="53" spans="1:11" ht="12.75">
      <c r="A53" s="67"/>
      <c r="B53" s="22" t="s">
        <v>380</v>
      </c>
      <c r="C53" s="22"/>
      <c r="D53" s="22"/>
      <c r="E53" s="22"/>
      <c r="F53" s="24" t="s">
        <v>381</v>
      </c>
      <c r="G53" s="25">
        <f t="shared" si="5"/>
        <v>809000</v>
      </c>
      <c r="H53" s="25">
        <f t="shared" si="5"/>
        <v>1100000</v>
      </c>
      <c r="I53" s="25">
        <f t="shared" si="5"/>
        <v>0</v>
      </c>
      <c r="J53" s="25">
        <f t="shared" si="5"/>
        <v>1100000</v>
      </c>
      <c r="K53" s="25">
        <f t="shared" si="5"/>
        <v>5610.48</v>
      </c>
    </row>
    <row r="54" spans="1:11" ht="12.75">
      <c r="A54" s="68"/>
      <c r="B54" s="27"/>
      <c r="C54" s="72" t="s">
        <v>382</v>
      </c>
      <c r="D54" s="27"/>
      <c r="E54" s="27"/>
      <c r="F54" s="29" t="s">
        <v>38</v>
      </c>
      <c r="G54" s="30">
        <f>SUM(G55:G56)</f>
        <v>809000</v>
      </c>
      <c r="H54" s="30">
        <f>SUM(H55:H56)</f>
        <v>1100000</v>
      </c>
      <c r="I54" s="30">
        <f>SUM(I55:I56)</f>
        <v>0</v>
      </c>
      <c r="J54" s="30">
        <f>SUM(J55:J56)</f>
        <v>1100000</v>
      </c>
      <c r="K54" s="30">
        <f>SUM(K55:K56)</f>
        <v>5610.48</v>
      </c>
    </row>
    <row r="55" spans="1:11" ht="12.75">
      <c r="A55" s="69"/>
      <c r="B55" s="36"/>
      <c r="C55" s="36"/>
      <c r="D55" s="36" t="s">
        <v>383</v>
      </c>
      <c r="E55" s="36"/>
      <c r="F55" s="47" t="s">
        <v>384</v>
      </c>
      <c r="G55" s="38"/>
      <c r="H55" s="38">
        <v>100000</v>
      </c>
      <c r="I55" s="38"/>
      <c r="J55" s="38">
        <v>100000</v>
      </c>
      <c r="K55" s="38"/>
    </row>
    <row r="56" spans="1:11" ht="12.75">
      <c r="A56" s="69"/>
      <c r="B56" s="36"/>
      <c r="C56" s="36"/>
      <c r="D56" s="36" t="s">
        <v>385</v>
      </c>
      <c r="E56" s="36"/>
      <c r="F56" s="47" t="s">
        <v>54</v>
      </c>
      <c r="G56" s="38">
        <v>809000</v>
      </c>
      <c r="H56" s="38">
        <v>1000000</v>
      </c>
      <c r="I56" s="38"/>
      <c r="J56" s="38">
        <v>1000000</v>
      </c>
      <c r="K56" s="38">
        <v>5610.48</v>
      </c>
    </row>
    <row r="57" spans="1:11" ht="12.75">
      <c r="A57" s="63" t="s">
        <v>55</v>
      </c>
      <c r="B57" s="64"/>
      <c r="C57" s="64"/>
      <c r="D57" s="64"/>
      <c r="E57" s="64"/>
      <c r="F57" s="65" t="s">
        <v>56</v>
      </c>
      <c r="G57" s="66">
        <f>G58</f>
        <v>282000</v>
      </c>
      <c r="H57" s="66">
        <f aca="true" t="shared" si="6" ref="H57:K59">H58</f>
        <v>205000</v>
      </c>
      <c r="I57" s="66">
        <f t="shared" si="6"/>
        <v>0</v>
      </c>
      <c r="J57" s="66">
        <f t="shared" si="6"/>
        <v>205000</v>
      </c>
      <c r="K57" s="66">
        <f t="shared" si="6"/>
        <v>85166.12</v>
      </c>
    </row>
    <row r="58" spans="1:11" ht="12.75">
      <c r="A58" s="67"/>
      <c r="B58" s="22" t="s">
        <v>376</v>
      </c>
      <c r="C58" s="22"/>
      <c r="D58" s="22"/>
      <c r="E58" s="22"/>
      <c r="F58" s="24" t="s">
        <v>57</v>
      </c>
      <c r="G58" s="25">
        <f>G59</f>
        <v>282000</v>
      </c>
      <c r="H58" s="25">
        <f t="shared" si="6"/>
        <v>205000</v>
      </c>
      <c r="I58" s="25">
        <f t="shared" si="6"/>
        <v>0</v>
      </c>
      <c r="J58" s="25">
        <f t="shared" si="6"/>
        <v>205000</v>
      </c>
      <c r="K58" s="25">
        <f t="shared" si="6"/>
        <v>85166.12</v>
      </c>
    </row>
    <row r="59" spans="1:11" ht="12.75">
      <c r="A59" s="68"/>
      <c r="B59" s="27"/>
      <c r="C59" s="27" t="s">
        <v>19</v>
      </c>
      <c r="D59" s="27"/>
      <c r="E59" s="27"/>
      <c r="F59" s="29" t="s">
        <v>58</v>
      </c>
      <c r="G59" s="30">
        <f>G60</f>
        <v>282000</v>
      </c>
      <c r="H59" s="30">
        <f t="shared" si="6"/>
        <v>205000</v>
      </c>
      <c r="I59" s="30">
        <f t="shared" si="6"/>
        <v>0</v>
      </c>
      <c r="J59" s="30">
        <f t="shared" si="6"/>
        <v>205000</v>
      </c>
      <c r="K59" s="30">
        <f t="shared" si="6"/>
        <v>85166.12</v>
      </c>
    </row>
    <row r="60" spans="1:11" ht="12.75">
      <c r="A60" s="69"/>
      <c r="B60" s="36"/>
      <c r="C60" s="36"/>
      <c r="D60" s="36" t="s">
        <v>21</v>
      </c>
      <c r="E60" s="36"/>
      <c r="F60" s="37" t="s">
        <v>59</v>
      </c>
      <c r="G60" s="99">
        <v>282000</v>
      </c>
      <c r="H60" s="99">
        <v>205000</v>
      </c>
      <c r="I60" s="38"/>
      <c r="J60" s="99">
        <v>205000</v>
      </c>
      <c r="K60" s="38">
        <v>85166.12</v>
      </c>
    </row>
    <row r="61" spans="1:11" ht="12.75">
      <c r="A61" s="73"/>
      <c r="B61" s="73"/>
      <c r="C61" s="73"/>
      <c r="D61" s="73"/>
      <c r="E61" s="73"/>
      <c r="F61" s="73"/>
      <c r="G61" s="74"/>
      <c r="H61" s="74"/>
      <c r="I61" s="74"/>
      <c r="J61" s="74"/>
      <c r="K61" s="74"/>
    </row>
    <row r="62" spans="1:11" ht="12.75">
      <c r="A62" s="73"/>
      <c r="B62" s="73"/>
      <c r="C62" s="73"/>
      <c r="D62" s="73"/>
      <c r="E62" s="73"/>
      <c r="F62" s="75" t="s">
        <v>405</v>
      </c>
      <c r="G62" s="189"/>
      <c r="H62" s="189"/>
      <c r="I62" s="74"/>
      <c r="J62" s="189"/>
      <c r="K62" s="74"/>
    </row>
    <row r="63" spans="1:11" ht="12.75">
      <c r="A63" s="76"/>
      <c r="B63" s="76"/>
      <c r="C63" s="76"/>
      <c r="D63" s="76"/>
      <c r="E63" s="76"/>
      <c r="F63" s="76" t="s">
        <v>406</v>
      </c>
      <c r="G63" s="77">
        <f>G9+G13+G17+G21+G38</f>
        <v>6785000</v>
      </c>
      <c r="H63" s="77">
        <f>H9+H13+H17+H21+H38</f>
        <v>6571000</v>
      </c>
      <c r="I63" s="77">
        <f>I9+I13+I17+I21+I38</f>
        <v>0</v>
      </c>
      <c r="J63" s="77">
        <f>J9+J13+J17+J21+J38</f>
        <v>6717000</v>
      </c>
      <c r="K63" s="77">
        <f>K9+K13+K17+K21+K38</f>
        <v>5971137.3</v>
      </c>
    </row>
    <row r="64" spans="1:11" ht="12.75">
      <c r="A64" s="76"/>
      <c r="B64" s="76"/>
      <c r="C64" s="76"/>
      <c r="D64" s="76"/>
      <c r="E64" s="76"/>
      <c r="F64" s="76" t="s">
        <v>407</v>
      </c>
      <c r="G64" s="77">
        <f>G52</f>
        <v>809000</v>
      </c>
      <c r="H64" s="77">
        <f>H52</f>
        <v>1100000</v>
      </c>
      <c r="I64" s="77">
        <f>I52</f>
        <v>0</v>
      </c>
      <c r="J64" s="77">
        <f>J52</f>
        <v>1100000</v>
      </c>
      <c r="K64" s="77">
        <f>K52</f>
        <v>5610.48</v>
      </c>
    </row>
    <row r="65" spans="1:11" ht="12.75">
      <c r="A65" s="76"/>
      <c r="B65" s="76"/>
      <c r="C65" s="76"/>
      <c r="D65" s="76"/>
      <c r="E65" s="76"/>
      <c r="F65" s="76" t="s">
        <v>41</v>
      </c>
      <c r="G65" s="77">
        <f>G57</f>
        <v>282000</v>
      </c>
      <c r="H65" s="77">
        <f>H57</f>
        <v>205000</v>
      </c>
      <c r="I65" s="77">
        <f>I57</f>
        <v>0</v>
      </c>
      <c r="J65" s="77">
        <f>J57</f>
        <v>205000</v>
      </c>
      <c r="K65" s="77">
        <f>K57</f>
        <v>85166.12</v>
      </c>
    </row>
    <row r="66" spans="1:11" ht="12.75">
      <c r="A66" s="78" t="s">
        <v>42</v>
      </c>
      <c r="B66" s="79"/>
      <c r="C66" s="79"/>
      <c r="D66" s="79"/>
      <c r="E66" s="79"/>
      <c r="F66" s="80"/>
      <c r="G66" s="81">
        <f>G9+G13+G17+G21+G38+G52+G57</f>
        <v>7876000</v>
      </c>
      <c r="H66" s="81">
        <f>H9+H13+H17+H21+H38+H52+H57</f>
        <v>7876000</v>
      </c>
      <c r="I66" s="81">
        <f>I9+I13+I17+I21+I38+I52+I57</f>
        <v>0</v>
      </c>
      <c r="J66" s="81">
        <f>J9+J13+J17+J21+J38+J52+J57</f>
        <v>8022000</v>
      </c>
      <c r="K66" s="81">
        <f>K9+K13+K17+K21+K38+K52+K57</f>
        <v>6061913.9</v>
      </c>
    </row>
    <row r="67" spans="1:11" ht="12.75">
      <c r="A67" s="82"/>
      <c r="B67" s="82"/>
      <c r="C67" s="82"/>
      <c r="D67" s="82"/>
      <c r="E67" s="82"/>
      <c r="F67" s="83" t="s">
        <v>404</v>
      </c>
      <c r="G67" s="84">
        <v>0</v>
      </c>
      <c r="H67" s="84">
        <v>0</v>
      </c>
      <c r="I67" s="100" t="e">
        <f>#REF!+#REF!+#REF!</f>
        <v>#REF!</v>
      </c>
      <c r="J67" s="84">
        <v>0</v>
      </c>
      <c r="K67" s="100">
        <v>1564806.45</v>
      </c>
    </row>
    <row r="68" spans="1:11" ht="12.75">
      <c r="A68" s="86"/>
      <c r="B68" s="86"/>
      <c r="C68" s="86"/>
      <c r="D68" s="86"/>
      <c r="E68" s="86"/>
      <c r="F68" s="87" t="s">
        <v>408</v>
      </c>
      <c r="G68" s="88">
        <f>G66+G67</f>
        <v>7876000</v>
      </c>
      <c r="H68" s="88">
        <f>H66+H67</f>
        <v>7876000</v>
      </c>
      <c r="I68" s="101" t="e">
        <f>I66+I67</f>
        <v>#REF!</v>
      </c>
      <c r="J68" s="88">
        <f>J66+J67</f>
        <v>8022000</v>
      </c>
      <c r="K68" s="101">
        <f>K66+K67</f>
        <v>7626720.350000001</v>
      </c>
    </row>
    <row r="69" ht="12.75">
      <c r="G69" s="190"/>
    </row>
    <row r="70" ht="12.75">
      <c r="G70" s="190"/>
    </row>
    <row r="71" ht="12.75">
      <c r="G71" s="190"/>
    </row>
    <row r="72" ht="12.75">
      <c r="G72" s="190"/>
    </row>
    <row r="73" spans="1:7" ht="15.75">
      <c r="A73" s="98"/>
      <c r="G73" s="190"/>
    </row>
    <row r="74" ht="12.75">
      <c r="G74" s="190"/>
    </row>
    <row r="75" ht="12.75">
      <c r="G75" s="190"/>
    </row>
    <row r="76" ht="12.75">
      <c r="G76" s="190"/>
    </row>
    <row r="77" ht="12.75">
      <c r="G77" s="190"/>
    </row>
    <row r="78" ht="12.75">
      <c r="G78" s="190"/>
    </row>
    <row r="79" ht="12.75">
      <c r="G79" s="190"/>
    </row>
    <row r="80" ht="12.75">
      <c r="G80" s="190"/>
    </row>
    <row r="81" ht="12.75">
      <c r="G81" s="190"/>
    </row>
  </sheetData>
  <sheetProtection/>
  <mergeCells count="2">
    <mergeCell ref="A5:K5"/>
    <mergeCell ref="A7:E7"/>
  </mergeCells>
  <printOptions horizontalCentered="1"/>
  <pageMargins left="0" right="0" top="0.984251968503937" bottom="0.984251968503937" header="0.5118110236220472" footer="0.5118110236220472"/>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T249"/>
  <sheetViews>
    <sheetView zoomScale="124" zoomScaleNormal="124" zoomScalePageLayoutView="0" workbookViewId="0" topLeftCell="C1">
      <pane ySplit="7" topLeftCell="A8" activePane="bottomLeft" state="frozen"/>
      <selection pane="topLeft" activeCell="A1" sqref="A1"/>
      <selection pane="bottomLeft" activeCell="I8" sqref="I8"/>
    </sheetView>
  </sheetViews>
  <sheetFormatPr defaultColWidth="9.00390625" defaultRowHeight="12.75"/>
  <cols>
    <col min="1" max="1" width="0.2421875" style="0" customWidth="1"/>
    <col min="2" max="3" width="4.75390625" style="0" customWidth="1"/>
    <col min="4" max="4" width="5.75390625" style="0" customWidth="1"/>
    <col min="5" max="5" width="7.375" style="0" customWidth="1"/>
    <col min="6" max="6" width="60.125" style="0" customWidth="1"/>
    <col min="7" max="7" width="13.375" style="0" customWidth="1"/>
    <col min="8" max="8" width="15.125" style="0" customWidth="1"/>
    <col min="9" max="9" width="14.875" style="0" customWidth="1"/>
    <col min="10" max="10" width="15.625" style="0" hidden="1" customWidth="1"/>
    <col min="11" max="11" width="15.625" style="0" customWidth="1"/>
    <col min="20" max="20" width="10.25390625" style="0" customWidth="1"/>
  </cols>
  <sheetData>
    <row r="1" spans="1:11" ht="21.75" customHeight="1">
      <c r="A1" s="1" t="s">
        <v>410</v>
      </c>
      <c r="B1" s="2"/>
      <c r="C1" s="2"/>
      <c r="D1" s="3"/>
      <c r="E1" s="3"/>
      <c r="F1" s="4"/>
      <c r="G1" s="4"/>
      <c r="H1" s="5"/>
      <c r="I1" s="5"/>
      <c r="J1" s="5"/>
      <c r="K1" s="5"/>
    </row>
    <row r="2" spans="1:11" ht="15" customHeight="1">
      <c r="A2" s="7" t="s">
        <v>672</v>
      </c>
      <c r="B2" s="3"/>
      <c r="C2" s="3"/>
      <c r="D2" s="3"/>
      <c r="E2" s="3"/>
      <c r="F2" s="8"/>
      <c r="G2" s="8"/>
      <c r="H2" s="8"/>
      <c r="I2" s="8"/>
      <c r="J2" s="8"/>
      <c r="K2" s="8"/>
    </row>
    <row r="3" spans="1:11" ht="12.75">
      <c r="A3" s="7"/>
      <c r="B3" s="8"/>
      <c r="C3" s="8"/>
      <c r="E3" s="8"/>
      <c r="F3" s="8"/>
      <c r="G3" s="8"/>
      <c r="H3" s="8"/>
      <c r="I3" s="8"/>
      <c r="J3" s="8"/>
      <c r="K3" s="8"/>
    </row>
    <row r="4" spans="1:11" ht="12.75">
      <c r="A4" s="9"/>
      <c r="B4" s="10"/>
      <c r="C4" s="10"/>
      <c r="D4" s="10"/>
      <c r="E4" s="10"/>
      <c r="F4" s="10"/>
      <c r="G4" s="10"/>
      <c r="H4" s="10"/>
      <c r="I4" s="10"/>
      <c r="J4" s="10"/>
      <c r="K4" s="10"/>
    </row>
    <row r="5" spans="1:11" ht="12.75">
      <c r="A5" s="199" t="s">
        <v>700</v>
      </c>
      <c r="B5" s="199"/>
      <c r="C5" s="199"/>
      <c r="D5" s="199"/>
      <c r="E5" s="199"/>
      <c r="F5" s="199"/>
      <c r="G5" s="199"/>
      <c r="H5" s="199"/>
      <c r="I5" s="199"/>
      <c r="J5" s="199"/>
      <c r="K5" s="199"/>
    </row>
    <row r="6" spans="1:11" ht="13.5" thickBot="1">
      <c r="A6" s="8"/>
      <c r="B6" s="8"/>
      <c r="C6" s="8"/>
      <c r="D6" s="8"/>
      <c r="E6" s="8"/>
      <c r="F6" s="8"/>
      <c r="G6" s="8"/>
      <c r="H6" s="8"/>
      <c r="I6" s="8"/>
      <c r="J6" s="8"/>
      <c r="K6" s="8"/>
    </row>
    <row r="7" spans="1:20" ht="50.25" customHeight="1">
      <c r="A7" s="200" t="s">
        <v>411</v>
      </c>
      <c r="B7" s="201"/>
      <c r="C7" s="201"/>
      <c r="D7" s="201"/>
      <c r="E7" s="201"/>
      <c r="F7" s="11" t="s">
        <v>412</v>
      </c>
      <c r="G7" s="191" t="s">
        <v>696</v>
      </c>
      <c r="H7" s="12" t="s">
        <v>701</v>
      </c>
      <c r="I7" s="102" t="s">
        <v>698</v>
      </c>
      <c r="J7" s="12" t="s">
        <v>480</v>
      </c>
      <c r="K7" s="13" t="s">
        <v>699</v>
      </c>
      <c r="S7" t="s">
        <v>413</v>
      </c>
      <c r="T7" t="s">
        <v>414</v>
      </c>
    </row>
    <row r="8" spans="1:20" ht="12.75">
      <c r="A8" s="14"/>
      <c r="B8" s="15"/>
      <c r="C8" s="16"/>
      <c r="D8" s="16"/>
      <c r="E8" s="16"/>
      <c r="F8" s="17" t="s">
        <v>415</v>
      </c>
      <c r="G8" s="18"/>
      <c r="H8" s="18"/>
      <c r="I8" s="18"/>
      <c r="J8" s="19"/>
      <c r="K8" s="19"/>
      <c r="S8" s="20">
        <f>IF(LEN(T8)&gt;=6,"",IF(LEN(T8)=0,"",IF(LEN(T8)=4,CONCATENATE(T8,".??"),CONCATENATE(T8,"?"))))</f>
      </c>
      <c r="T8">
        <f>CONCATENATE(A8,B8,C8,D8,E8,)</f>
      </c>
    </row>
    <row r="9" spans="1:20" ht="12.75">
      <c r="A9" s="14">
        <v>0</v>
      </c>
      <c r="B9" s="15"/>
      <c r="C9" s="16"/>
      <c r="D9" s="16"/>
      <c r="E9" s="16"/>
      <c r="F9" s="17" t="s">
        <v>416</v>
      </c>
      <c r="G9" s="18">
        <f>SUMIF($T10:$T$243,$S9,G10:G$243)</f>
        <v>3290600</v>
      </c>
      <c r="H9" s="18">
        <f>SUMIF($T10:$T$243,$S9,H10:H$243)</f>
        <v>3357500</v>
      </c>
      <c r="I9" s="18">
        <f>SUMIF($T10:$T$243,$S9,I10:I$243)</f>
        <v>3357500</v>
      </c>
      <c r="J9" s="18">
        <f>SUMIF($T10:$T$243,$S9,J10:J$243)</f>
        <v>0</v>
      </c>
      <c r="K9" s="18">
        <f>SUMIF($T10:$T$243,$S9,K10:K$243)</f>
        <v>2761125.2199999997</v>
      </c>
      <c r="S9" s="20" t="str">
        <f aca="true" t="shared" si="0" ref="S9:S34">IF(LEN(T9)&gt;=6,"",IF(LEN(T9)=0,"",IF(LEN(T9)=4,CONCATENATE(T9,".??"),CONCATENATE(T9,"?"))))</f>
        <v>0?</v>
      </c>
      <c r="T9" t="str">
        <f>CONCATENATE(A9,B9,C9,D9,E9,)</f>
        <v>0</v>
      </c>
    </row>
    <row r="10" spans="1:20" ht="12.75">
      <c r="A10" s="21"/>
      <c r="B10" s="22" t="s">
        <v>417</v>
      </c>
      <c r="C10" s="23"/>
      <c r="D10" s="23"/>
      <c r="E10" s="23"/>
      <c r="F10" s="24" t="s">
        <v>418</v>
      </c>
      <c r="G10" s="25">
        <f>SUMIF($T11:$T$243,$S10,G11:G$243)</f>
        <v>526000</v>
      </c>
      <c r="H10" s="25">
        <f>SUMIF($T11:$T$243,$S10,H11:H$243)</f>
        <v>522000</v>
      </c>
      <c r="I10" s="25">
        <f>SUMIF($T11:$T$243,$S10,I11:I$243)</f>
        <v>522000</v>
      </c>
      <c r="J10" s="25">
        <f>SUMIF($T11:$T$243,$S10,J11:J$243)</f>
        <v>0</v>
      </c>
      <c r="K10" s="25">
        <f>SUMIF($T11:$T$243,$S10,K11:K$243)</f>
        <v>451961.84</v>
      </c>
      <c r="S10" s="20" t="str">
        <f t="shared" si="0"/>
        <v>02?</v>
      </c>
      <c r="T10" t="str">
        <f>CONCATENATE(A10,B10,C10,D10,E10,)</f>
        <v>02</v>
      </c>
    </row>
    <row r="11" spans="1:20" ht="12.75">
      <c r="A11" s="26"/>
      <c r="B11" s="27"/>
      <c r="C11" s="27" t="s">
        <v>419</v>
      </c>
      <c r="D11" s="28"/>
      <c r="E11" s="28"/>
      <c r="F11" s="29" t="s">
        <v>420</v>
      </c>
      <c r="G11" s="30">
        <f>SUMIF($T12:$T$243,$S11,G12:G$243)</f>
        <v>450000</v>
      </c>
      <c r="H11" s="30">
        <f>SUMIF($T12:$T$243,$S11,H12:H$243)</f>
        <v>450000</v>
      </c>
      <c r="I11" s="30">
        <f>SUMIF($T12:$T$243,$S11,I12:I$243)</f>
        <v>450000</v>
      </c>
      <c r="J11" s="30">
        <f>SUMIF($T12:$T$243,$S11,J12:J$243)</f>
        <v>0</v>
      </c>
      <c r="K11" s="30">
        <f>SUMIF($T12:$T$243,$S11,K12:K$243)</f>
        <v>388570.35</v>
      </c>
      <c r="S11" s="20" t="str">
        <f t="shared" si="0"/>
        <v>021?</v>
      </c>
      <c r="T11" t="str">
        <f>CONCATENATE(A11,B11,C11,D11,E11,)</f>
        <v>021</v>
      </c>
    </row>
    <row r="12" spans="1:20" ht="12.75">
      <c r="A12" s="31"/>
      <c r="B12" s="32"/>
      <c r="C12" s="32"/>
      <c r="D12" s="32" t="s">
        <v>422</v>
      </c>
      <c r="E12" s="32"/>
      <c r="F12" s="33" t="s">
        <v>423</v>
      </c>
      <c r="G12" s="34">
        <v>80000</v>
      </c>
      <c r="H12" s="34">
        <v>80000</v>
      </c>
      <c r="I12" s="34">
        <v>80000</v>
      </c>
      <c r="J12" s="46"/>
      <c r="K12" s="34">
        <v>66670.81</v>
      </c>
      <c r="S12" s="20" t="str">
        <f t="shared" si="0"/>
        <v>0212.??</v>
      </c>
      <c r="T12" t="str">
        <f aca="true" t="shared" si="1" ref="T12:T34">CONCATENATE(A12,B12,C12,D12,E12,)</f>
        <v>0212</v>
      </c>
    </row>
    <row r="13" spans="1:20" ht="12.75">
      <c r="A13" s="31"/>
      <c r="B13" s="32"/>
      <c r="C13" s="32"/>
      <c r="D13" s="32" t="s">
        <v>624</v>
      </c>
      <c r="E13" s="32"/>
      <c r="F13" s="33" t="s">
        <v>625</v>
      </c>
      <c r="G13" s="34">
        <v>370000</v>
      </c>
      <c r="H13" s="34">
        <v>370000</v>
      </c>
      <c r="I13" s="34">
        <v>370000</v>
      </c>
      <c r="J13" s="46"/>
      <c r="K13" s="34">
        <v>321899.54</v>
      </c>
      <c r="S13" s="20" t="str">
        <f t="shared" si="0"/>
        <v>0219.??</v>
      </c>
      <c r="T13" t="str">
        <f t="shared" si="1"/>
        <v>0219</v>
      </c>
    </row>
    <row r="14" spans="1:20" ht="12.75">
      <c r="A14" s="26"/>
      <c r="B14" s="27"/>
      <c r="C14" s="27" t="s">
        <v>424</v>
      </c>
      <c r="D14" s="27"/>
      <c r="E14" s="27"/>
      <c r="F14" s="29" t="s">
        <v>425</v>
      </c>
      <c r="G14" s="30">
        <f>SUMIF($T15:$T$243,$S14,G15:G$243)</f>
        <v>15000</v>
      </c>
      <c r="H14" s="30">
        <f>SUMIF($T15:$T$243,$S14,H15:H$243)</f>
        <v>15000</v>
      </c>
      <c r="I14" s="30">
        <f>SUMIF($T15:$T$243,$S14,I15:I$243)</f>
        <v>15000</v>
      </c>
      <c r="J14" s="30">
        <f>SUMIF($T15:$T$243,$S14,J15:J$243)</f>
        <v>0</v>
      </c>
      <c r="K14" s="30">
        <f>SUMIF($T15:$T$243,$S14,K15:K$243)</f>
        <v>9073.34</v>
      </c>
      <c r="S14" s="20" t="str">
        <f t="shared" si="0"/>
        <v>022?</v>
      </c>
      <c r="T14" t="str">
        <f t="shared" si="1"/>
        <v>022</v>
      </c>
    </row>
    <row r="15" spans="1:20" ht="12.75">
      <c r="A15" s="35"/>
      <c r="B15" s="36"/>
      <c r="C15" s="36"/>
      <c r="D15" s="36" t="s">
        <v>426</v>
      </c>
      <c r="E15" s="36"/>
      <c r="F15" s="37" t="s">
        <v>78</v>
      </c>
      <c r="G15" s="38">
        <v>15000</v>
      </c>
      <c r="H15" s="38">
        <v>15000</v>
      </c>
      <c r="I15" s="38">
        <v>15000</v>
      </c>
      <c r="J15" s="38"/>
      <c r="K15" s="38">
        <v>9073.34</v>
      </c>
      <c r="S15" s="20" t="str">
        <f t="shared" si="0"/>
        <v>0224.??</v>
      </c>
      <c r="T15" t="str">
        <f t="shared" si="1"/>
        <v>0224</v>
      </c>
    </row>
    <row r="16" spans="1:20" ht="12.75">
      <c r="A16" s="26"/>
      <c r="B16" s="27"/>
      <c r="C16" s="27" t="s">
        <v>80</v>
      </c>
      <c r="D16" s="27"/>
      <c r="E16" s="27"/>
      <c r="F16" s="29" t="s">
        <v>79</v>
      </c>
      <c r="G16" s="30">
        <f>SUMIF($T17:$T$243,$S16,G17:G$243)</f>
        <v>46000</v>
      </c>
      <c r="H16" s="30">
        <f>SUMIF($T17:$T$243,$S16,H17:H$243)</f>
        <v>41000</v>
      </c>
      <c r="I16" s="30">
        <f>SUMIF($T17:$T$243,$S16,I17:I$243)</f>
        <v>41000</v>
      </c>
      <c r="J16" s="30">
        <f>SUMIF($T17:$T$243,$S16,J17:J$243)</f>
        <v>0</v>
      </c>
      <c r="K16" s="30">
        <f>SUMIF($T17:$T$243,$S16,K17:K$243)</f>
        <v>41000</v>
      </c>
      <c r="S16" s="20" t="str">
        <f t="shared" si="0"/>
        <v>025?</v>
      </c>
      <c r="T16" t="str">
        <f t="shared" si="1"/>
        <v>025</v>
      </c>
    </row>
    <row r="17" spans="1:20" ht="12.75">
      <c r="A17" s="31"/>
      <c r="B17" s="32"/>
      <c r="C17" s="32"/>
      <c r="D17" s="32" t="s">
        <v>81</v>
      </c>
      <c r="E17" s="32"/>
      <c r="F17" s="33" t="s">
        <v>82</v>
      </c>
      <c r="G17" s="34">
        <v>40000</v>
      </c>
      <c r="H17" s="34">
        <v>35000</v>
      </c>
      <c r="I17" s="34">
        <v>35000</v>
      </c>
      <c r="J17" s="46"/>
      <c r="K17" s="34">
        <v>35000</v>
      </c>
      <c r="S17" s="20" t="str">
        <f t="shared" si="0"/>
        <v>0257.??</v>
      </c>
      <c r="T17" t="str">
        <f t="shared" si="1"/>
        <v>0257</v>
      </c>
    </row>
    <row r="18" spans="1:20" ht="12.75">
      <c r="A18" s="31"/>
      <c r="B18" s="32"/>
      <c r="C18" s="32"/>
      <c r="D18" s="32" t="s">
        <v>83</v>
      </c>
      <c r="E18" s="32"/>
      <c r="F18" s="33" t="s">
        <v>84</v>
      </c>
      <c r="G18" s="34">
        <v>6000</v>
      </c>
      <c r="H18" s="34">
        <v>6000</v>
      </c>
      <c r="I18" s="34">
        <v>6000</v>
      </c>
      <c r="J18" s="46"/>
      <c r="K18" s="34">
        <v>6000</v>
      </c>
      <c r="S18" s="20" t="str">
        <f t="shared" si="0"/>
        <v>0259.??</v>
      </c>
      <c r="T18" t="str">
        <f t="shared" si="1"/>
        <v>0259</v>
      </c>
    </row>
    <row r="19" spans="1:20" ht="12.75">
      <c r="A19" s="26"/>
      <c r="B19" s="27"/>
      <c r="C19" s="27" t="s">
        <v>86</v>
      </c>
      <c r="D19" s="27"/>
      <c r="E19" s="27"/>
      <c r="F19" s="29" t="s">
        <v>87</v>
      </c>
      <c r="G19" s="30">
        <f>SUMIF($T20:$T$243,$S19,G20:G$243)</f>
        <v>15000</v>
      </c>
      <c r="H19" s="30">
        <f>SUMIF($T20:$T$243,$S19,H20:H$243)</f>
        <v>16000</v>
      </c>
      <c r="I19" s="30">
        <f>SUMIF($T20:$T$243,$S19,I20:I$243)</f>
        <v>16000</v>
      </c>
      <c r="J19" s="30">
        <f>SUMIF($T20:$T$243,$S19,J20:J$243)</f>
        <v>0</v>
      </c>
      <c r="K19" s="30">
        <f>SUMIF($T20:$T$243,$S19,K20:K$243)</f>
        <v>13318.15</v>
      </c>
      <c r="S19" s="20" t="str">
        <f t="shared" si="0"/>
        <v>028?</v>
      </c>
      <c r="T19" t="str">
        <f t="shared" si="1"/>
        <v>028</v>
      </c>
    </row>
    <row r="20" spans="1:20" ht="12.75">
      <c r="A20" s="39"/>
      <c r="B20" s="40"/>
      <c r="C20" s="40"/>
      <c r="D20" s="40" t="s">
        <v>89</v>
      </c>
      <c r="E20" s="40"/>
      <c r="F20" s="41" t="s">
        <v>90</v>
      </c>
      <c r="G20" s="34">
        <v>15000</v>
      </c>
      <c r="H20" s="34">
        <v>16000</v>
      </c>
      <c r="I20" s="34">
        <v>16000</v>
      </c>
      <c r="J20" s="46"/>
      <c r="K20" s="34">
        <v>13318.15</v>
      </c>
      <c r="S20" s="20" t="str">
        <f t="shared" si="0"/>
        <v>0289.??</v>
      </c>
      <c r="T20" t="str">
        <f t="shared" si="1"/>
        <v>0289</v>
      </c>
    </row>
    <row r="21" spans="1:20" ht="12.75">
      <c r="A21" s="21"/>
      <c r="B21" s="22" t="s">
        <v>92</v>
      </c>
      <c r="C21" s="22"/>
      <c r="D21" s="22"/>
      <c r="E21" s="22"/>
      <c r="F21" s="24" t="s">
        <v>93</v>
      </c>
      <c r="G21" s="25">
        <f>SUMIF($T22:$T$243,$S21,G22:G$243)</f>
        <v>1390000</v>
      </c>
      <c r="H21" s="25">
        <f>SUMIF($T22:$T$243,$S21,H22:H$243)</f>
        <v>1334000</v>
      </c>
      <c r="I21" s="25">
        <f>SUMIF($T22:$T$243,$S21,I22:I$243)</f>
        <v>1334000</v>
      </c>
      <c r="J21" s="25">
        <f>SUMIF($T22:$T$243,$S21,J22:J$243)</f>
        <v>0</v>
      </c>
      <c r="K21" s="25">
        <f>SUMIF($T22:$T$243,$S21,K22:K$243)</f>
        <v>1062498.6199999999</v>
      </c>
      <c r="S21" s="20" t="str">
        <f t="shared" si="0"/>
        <v>04?</v>
      </c>
      <c r="T21" t="str">
        <f t="shared" si="1"/>
        <v>04</v>
      </c>
    </row>
    <row r="22" spans="1:20" ht="12.75">
      <c r="A22" s="26"/>
      <c r="B22" s="27"/>
      <c r="C22" s="27" t="s">
        <v>94</v>
      </c>
      <c r="D22" s="27"/>
      <c r="E22" s="27"/>
      <c r="F22" s="29" t="s">
        <v>95</v>
      </c>
      <c r="G22" s="30">
        <f>SUMIF($T23:$T$243,$S22,G23:G$243)</f>
        <v>1075000</v>
      </c>
      <c r="H22" s="30">
        <f>SUMIF($T23:$T$243,$S22,H23:H$243)</f>
        <v>1000000</v>
      </c>
      <c r="I22" s="30">
        <f>SUMIF($T23:$T$243,$S22,I23:I$243)</f>
        <v>1000000</v>
      </c>
      <c r="J22" s="30">
        <f>SUMIF($T23:$T$243,$S22,J23:J$243)</f>
        <v>0</v>
      </c>
      <c r="K22" s="30">
        <f>SUMIF($T23:$T$243,$S22,K23:K$243)</f>
        <v>859813.95</v>
      </c>
      <c r="S22" s="20" t="str">
        <f t="shared" si="0"/>
        <v>041?</v>
      </c>
      <c r="T22" t="str">
        <f t="shared" si="1"/>
        <v>041</v>
      </c>
    </row>
    <row r="23" spans="1:20" ht="12.75">
      <c r="A23" s="89"/>
      <c r="B23" s="90"/>
      <c r="C23" s="90"/>
      <c r="D23" s="90" t="s">
        <v>96</v>
      </c>
      <c r="E23" s="90"/>
      <c r="F23" s="91" t="s">
        <v>97</v>
      </c>
      <c r="G23" s="52">
        <v>30000</v>
      </c>
      <c r="H23" s="52">
        <v>30000</v>
      </c>
      <c r="I23" s="52">
        <v>30000</v>
      </c>
      <c r="J23" s="38"/>
      <c r="K23" s="34">
        <v>31640.59</v>
      </c>
      <c r="S23" s="20" t="str">
        <f t="shared" si="0"/>
        <v>0411.??</v>
      </c>
      <c r="T23" t="str">
        <f t="shared" si="1"/>
        <v>0411</v>
      </c>
    </row>
    <row r="24" spans="1:20" ht="12.75">
      <c r="A24" s="89"/>
      <c r="B24" s="90"/>
      <c r="C24" s="90"/>
      <c r="D24" s="90" t="s">
        <v>98</v>
      </c>
      <c r="E24" s="90"/>
      <c r="F24" s="91" t="s">
        <v>430</v>
      </c>
      <c r="G24" s="52">
        <v>115000</v>
      </c>
      <c r="H24" s="52">
        <v>130000</v>
      </c>
      <c r="I24" s="52">
        <v>130000</v>
      </c>
      <c r="J24" s="38"/>
      <c r="K24" s="34">
        <v>109961.01</v>
      </c>
      <c r="S24" s="20" t="str">
        <f t="shared" si="0"/>
        <v>0412.??</v>
      </c>
      <c r="T24" t="str">
        <f t="shared" si="1"/>
        <v>0412</v>
      </c>
    </row>
    <row r="25" spans="1:20" ht="12.75">
      <c r="A25" s="89"/>
      <c r="B25" s="90"/>
      <c r="C25" s="90"/>
      <c r="D25" s="90" t="s">
        <v>431</v>
      </c>
      <c r="E25" s="90"/>
      <c r="F25" s="92" t="s">
        <v>432</v>
      </c>
      <c r="G25" s="52">
        <v>150000</v>
      </c>
      <c r="H25" s="52">
        <v>160000</v>
      </c>
      <c r="I25" s="52">
        <v>160000</v>
      </c>
      <c r="J25" s="38"/>
      <c r="K25" s="34">
        <v>162240.03</v>
      </c>
      <c r="S25" s="20" t="str">
        <f t="shared" si="0"/>
        <v>0413.??</v>
      </c>
      <c r="T25" t="str">
        <f t="shared" si="1"/>
        <v>0413</v>
      </c>
    </row>
    <row r="26" spans="1:20" ht="12.75">
      <c r="A26" s="89"/>
      <c r="B26" s="90"/>
      <c r="C26" s="90"/>
      <c r="D26" s="90" t="s">
        <v>433</v>
      </c>
      <c r="E26" s="90"/>
      <c r="F26" s="92" t="s">
        <v>434</v>
      </c>
      <c r="G26" s="52">
        <v>780000</v>
      </c>
      <c r="H26" s="52">
        <v>680000</v>
      </c>
      <c r="I26" s="52">
        <v>680000</v>
      </c>
      <c r="J26" s="38"/>
      <c r="K26" s="34">
        <v>555972.32</v>
      </c>
      <c r="S26" s="20" t="str">
        <f t="shared" si="0"/>
        <v>0419.??</v>
      </c>
      <c r="T26" t="str">
        <f t="shared" si="1"/>
        <v>0419</v>
      </c>
    </row>
    <row r="27" spans="1:20" ht="12.75">
      <c r="A27" s="26"/>
      <c r="B27" s="27"/>
      <c r="C27" s="27" t="s">
        <v>435</v>
      </c>
      <c r="D27" s="27"/>
      <c r="E27" s="27"/>
      <c r="F27" s="29" t="s">
        <v>436</v>
      </c>
      <c r="G27" s="30">
        <f>SUMIF($T28:$T$243,$S27,G28:G$243)</f>
        <v>55000</v>
      </c>
      <c r="H27" s="30">
        <f>SUMIF($T28:$T$243,$S27,H28:H$243)</f>
        <v>65000</v>
      </c>
      <c r="I27" s="30">
        <f>SUMIF($T28:$T$243,$S27,I28:I$243)</f>
        <v>65000</v>
      </c>
      <c r="J27" s="30">
        <f>SUMIF($T28:$T$243,$S27,J28:J$243)</f>
        <v>0</v>
      </c>
      <c r="K27" s="30">
        <f>SUMIF($T28:$T$243,$S27,K28:K$243)</f>
        <v>60465.700000000004</v>
      </c>
      <c r="S27" s="20" t="str">
        <f t="shared" si="0"/>
        <v>042?</v>
      </c>
      <c r="T27" t="str">
        <f t="shared" si="1"/>
        <v>042</v>
      </c>
    </row>
    <row r="28" spans="1:20" ht="12.75">
      <c r="A28" s="89"/>
      <c r="B28" s="90"/>
      <c r="C28" s="90"/>
      <c r="D28" s="90" t="s">
        <v>437</v>
      </c>
      <c r="E28" s="90"/>
      <c r="F28" s="91" t="s">
        <v>438</v>
      </c>
      <c r="G28" s="52">
        <v>20000</v>
      </c>
      <c r="H28" s="52">
        <v>30000</v>
      </c>
      <c r="I28" s="52">
        <v>30000</v>
      </c>
      <c r="J28" s="38"/>
      <c r="K28" s="34">
        <v>34099.8</v>
      </c>
      <c r="S28" s="20" t="str">
        <f t="shared" si="0"/>
        <v>0426.??</v>
      </c>
      <c r="T28" t="str">
        <f t="shared" si="1"/>
        <v>0426</v>
      </c>
    </row>
    <row r="29" spans="1:20" ht="12.75">
      <c r="A29" s="89"/>
      <c r="B29" s="90"/>
      <c r="C29" s="90"/>
      <c r="D29" s="90" t="s">
        <v>439</v>
      </c>
      <c r="E29" s="90"/>
      <c r="F29" s="91" t="s">
        <v>440</v>
      </c>
      <c r="G29" s="52">
        <v>35000</v>
      </c>
      <c r="H29" s="52">
        <v>35000</v>
      </c>
      <c r="I29" s="52">
        <v>35000</v>
      </c>
      <c r="J29" s="38"/>
      <c r="K29" s="34">
        <v>26365.9</v>
      </c>
      <c r="S29" s="20" t="str">
        <f t="shared" si="0"/>
        <v>0429.??</v>
      </c>
      <c r="T29" t="str">
        <f t="shared" si="1"/>
        <v>0429</v>
      </c>
    </row>
    <row r="30" spans="1:20" ht="12.75">
      <c r="A30" s="26"/>
      <c r="B30" s="27"/>
      <c r="C30" s="27" t="s">
        <v>441</v>
      </c>
      <c r="D30" s="27"/>
      <c r="E30" s="27"/>
      <c r="F30" s="29" t="s">
        <v>442</v>
      </c>
      <c r="G30" s="30">
        <f>SUMIF($T31:$T$243,$S30,G31:G$243)</f>
        <v>260000</v>
      </c>
      <c r="H30" s="30">
        <f>SUMIF($T31:$T$243,$S30,H31:H$243)</f>
        <v>269000</v>
      </c>
      <c r="I30" s="30">
        <f>SUMIF($T31:$T$243,$S30,I31:I$243)</f>
        <v>269000</v>
      </c>
      <c r="J30" s="30">
        <f>SUMIF($T31:$T$243,$S30,J31:J$243)</f>
        <v>0</v>
      </c>
      <c r="K30" s="30">
        <f>SUMIF($T31:$T$243,$S30,K31:K$243)</f>
        <v>142218.97</v>
      </c>
      <c r="S30" s="20" t="str">
        <f t="shared" si="0"/>
        <v>043?</v>
      </c>
      <c r="T30" t="str">
        <f t="shared" si="1"/>
        <v>043</v>
      </c>
    </row>
    <row r="31" spans="1:20" ht="12.75">
      <c r="A31" s="89"/>
      <c r="B31" s="90"/>
      <c r="C31" s="90"/>
      <c r="D31" s="90" t="s">
        <v>443</v>
      </c>
      <c r="E31" s="90"/>
      <c r="F31" s="91" t="s">
        <v>444</v>
      </c>
      <c r="G31" s="52">
        <v>260000</v>
      </c>
      <c r="H31" s="52">
        <v>269000</v>
      </c>
      <c r="I31" s="52">
        <v>269000</v>
      </c>
      <c r="J31" s="38"/>
      <c r="K31" s="34">
        <v>142218.97</v>
      </c>
      <c r="S31" s="20" t="str">
        <f t="shared" si="0"/>
        <v>0439.??</v>
      </c>
      <c r="T31" t="str">
        <f t="shared" si="1"/>
        <v>0439</v>
      </c>
    </row>
    <row r="32" spans="1:20" ht="12.75">
      <c r="A32" s="21"/>
      <c r="B32" s="22" t="s">
        <v>445</v>
      </c>
      <c r="C32" s="22"/>
      <c r="D32" s="22"/>
      <c r="E32" s="22"/>
      <c r="F32" s="24" t="s">
        <v>446</v>
      </c>
      <c r="G32" s="25">
        <f>SUMIF($T33:$T$243,$S32,G33:G$243)</f>
        <v>214500</v>
      </c>
      <c r="H32" s="25">
        <f>SUMIF($T33:$T$243,$S32,H33:H$243)</f>
        <v>226500</v>
      </c>
      <c r="I32" s="25">
        <f>SUMIF($T33:$T$243,$S32,I33:I$243)</f>
        <v>226500</v>
      </c>
      <c r="J32" s="25">
        <f>SUMIF($T33:$T$243,$S32,J33:J$243)</f>
        <v>0</v>
      </c>
      <c r="K32" s="25">
        <f>SUMIF($T33:$T$243,$S32,K33:K$243)</f>
        <v>161444.69</v>
      </c>
      <c r="S32" s="20" t="str">
        <f t="shared" si="0"/>
        <v>05?</v>
      </c>
      <c r="T32" t="str">
        <f t="shared" si="1"/>
        <v>05</v>
      </c>
    </row>
    <row r="33" spans="1:20" ht="12.75">
      <c r="A33" s="26"/>
      <c r="B33" s="27"/>
      <c r="C33" s="27" t="s">
        <v>447</v>
      </c>
      <c r="D33" s="27"/>
      <c r="E33" s="27"/>
      <c r="F33" s="29" t="s">
        <v>448</v>
      </c>
      <c r="G33" s="30">
        <f>SUMIF($T34:$T$243,$S33,G34:G$243)</f>
        <v>0</v>
      </c>
      <c r="H33" s="30">
        <f>SUMIF($T34:$T$243,$S33,H34:H$243)</f>
        <v>2000</v>
      </c>
      <c r="I33" s="30">
        <f>SUMIF($T34:$T$243,$S33,I34:I$243)</f>
        <v>2000</v>
      </c>
      <c r="J33" s="30">
        <f>SUMIF($T34:$T$243,$S33,J34:J$243)</f>
        <v>0</v>
      </c>
      <c r="K33" s="30">
        <f>SUMIF($T34:$T$243,$S33,K34:K$243)</f>
        <v>0</v>
      </c>
      <c r="S33" s="20" t="str">
        <f t="shared" si="0"/>
        <v>051?</v>
      </c>
      <c r="T33" t="str">
        <f t="shared" si="1"/>
        <v>051</v>
      </c>
    </row>
    <row r="34" spans="1:20" ht="12.75">
      <c r="A34" s="89"/>
      <c r="B34" s="90"/>
      <c r="C34" s="90"/>
      <c r="D34" s="90" t="s">
        <v>449</v>
      </c>
      <c r="E34" s="90"/>
      <c r="F34" s="91" t="s">
        <v>450</v>
      </c>
      <c r="G34" s="52">
        <v>0</v>
      </c>
      <c r="H34" s="52">
        <v>2000</v>
      </c>
      <c r="I34" s="52">
        <v>2000</v>
      </c>
      <c r="J34" s="38"/>
      <c r="K34" s="52">
        <v>0</v>
      </c>
      <c r="S34" s="20" t="str">
        <f t="shared" si="0"/>
        <v>0519.??</v>
      </c>
      <c r="T34" t="str">
        <f t="shared" si="1"/>
        <v>0519</v>
      </c>
    </row>
    <row r="35" spans="1:20" ht="12.75">
      <c r="A35" s="26"/>
      <c r="B35" s="27"/>
      <c r="C35" s="27" t="s">
        <v>451</v>
      </c>
      <c r="D35" s="27"/>
      <c r="E35" s="27"/>
      <c r="F35" s="29" t="s">
        <v>452</v>
      </c>
      <c r="G35" s="30">
        <f>SUMIF($T36:$T$243,$S35,G36:G$243)</f>
        <v>10000</v>
      </c>
      <c r="H35" s="30">
        <f>SUMIF($T36:$T$243,$S35,H36:H$243)</f>
        <v>15000</v>
      </c>
      <c r="I35" s="30">
        <f>SUMIF($T36:$T$243,$S35,I36:I$243)</f>
        <v>15000</v>
      </c>
      <c r="J35" s="30">
        <f>SUMIF($T36:$T$243,$S35,J36:J$243)</f>
        <v>0</v>
      </c>
      <c r="K35" s="30">
        <f>SUMIF($T36:$T$243,$S35,K36:K$243)</f>
        <v>11210</v>
      </c>
      <c r="S35" s="20" t="str">
        <f aca="true" t="shared" si="2" ref="S35:S54">IF(LEN(T35)&gt;=6,"",IF(LEN(T35)=0,"",IF(LEN(T35)=4,CONCATENATE(T35,".??"),CONCATENATE(T35,"?"))))</f>
        <v>053?</v>
      </c>
      <c r="T35" t="str">
        <f aca="true" t="shared" si="3" ref="T35:T56">CONCATENATE(A35,B35,C35,D35,E35,)</f>
        <v>053</v>
      </c>
    </row>
    <row r="36" spans="1:20" ht="12.75">
      <c r="A36" s="89"/>
      <c r="B36" s="90"/>
      <c r="C36" s="90"/>
      <c r="D36" s="90" t="s">
        <v>453</v>
      </c>
      <c r="E36" s="90"/>
      <c r="F36" s="91" t="s">
        <v>454</v>
      </c>
      <c r="G36" s="52">
        <v>10000</v>
      </c>
      <c r="H36" s="52">
        <v>15000</v>
      </c>
      <c r="I36" s="52">
        <v>15000</v>
      </c>
      <c r="J36" s="38"/>
      <c r="K36" s="52">
        <v>11210</v>
      </c>
      <c r="S36" s="20" t="str">
        <f t="shared" si="2"/>
        <v>0539.??</v>
      </c>
      <c r="T36" t="str">
        <f t="shared" si="3"/>
        <v>0539</v>
      </c>
    </row>
    <row r="37" spans="1:20" ht="12.75">
      <c r="A37" s="26"/>
      <c r="B37" s="27"/>
      <c r="C37" s="27" t="s">
        <v>455</v>
      </c>
      <c r="D37" s="27"/>
      <c r="E37" s="27"/>
      <c r="F37" s="29" t="s">
        <v>456</v>
      </c>
      <c r="G37" s="30">
        <f>SUMIF($T38:$T$243,$S37,G38:G$243)</f>
        <v>4500</v>
      </c>
      <c r="H37" s="30">
        <f>SUMIF($T38:$T$243,$S37,H38:H$243)</f>
        <v>9500</v>
      </c>
      <c r="I37" s="30">
        <f>SUMIF($T38:$T$243,$S37,I38:I$243)</f>
        <v>9500</v>
      </c>
      <c r="J37" s="30">
        <f>SUMIF($T38:$T$243,$S37,J38:J$243)</f>
        <v>0</v>
      </c>
      <c r="K37" s="30">
        <f>SUMIF($T38:$T$243,$S37,K38:K$243)</f>
        <v>2390</v>
      </c>
      <c r="S37" s="20" t="str">
        <f t="shared" si="2"/>
        <v>054?</v>
      </c>
      <c r="T37" t="str">
        <f t="shared" si="3"/>
        <v>054</v>
      </c>
    </row>
    <row r="38" spans="1:20" ht="12.75">
      <c r="A38" s="89"/>
      <c r="B38" s="90"/>
      <c r="C38" s="90"/>
      <c r="D38" s="90" t="s">
        <v>457</v>
      </c>
      <c r="E38" s="90"/>
      <c r="F38" s="91" t="s">
        <v>458</v>
      </c>
      <c r="G38" s="52">
        <v>500</v>
      </c>
      <c r="H38" s="52">
        <v>500</v>
      </c>
      <c r="I38" s="52">
        <v>500</v>
      </c>
      <c r="J38" s="38"/>
      <c r="K38" s="52">
        <v>120</v>
      </c>
      <c r="S38" s="20" t="str">
        <f t="shared" si="2"/>
        <v>0541.??</v>
      </c>
      <c r="T38" t="str">
        <f t="shared" si="3"/>
        <v>0541</v>
      </c>
    </row>
    <row r="39" spans="1:20" ht="12.75">
      <c r="A39" s="89"/>
      <c r="B39" s="90"/>
      <c r="C39" s="90"/>
      <c r="D39" s="90" t="s">
        <v>459</v>
      </c>
      <c r="E39" s="90"/>
      <c r="F39" s="91" t="s">
        <v>118</v>
      </c>
      <c r="G39" s="52">
        <v>0</v>
      </c>
      <c r="H39" s="52">
        <v>2000</v>
      </c>
      <c r="I39" s="52">
        <v>2000</v>
      </c>
      <c r="J39" s="38"/>
      <c r="K39" s="52">
        <v>0</v>
      </c>
      <c r="S39" s="20" t="str">
        <f t="shared" si="2"/>
        <v>0543.??</v>
      </c>
      <c r="T39" t="str">
        <f t="shared" si="3"/>
        <v>0543</v>
      </c>
    </row>
    <row r="40" spans="1:20" ht="12.75">
      <c r="A40" s="89"/>
      <c r="B40" s="90"/>
      <c r="C40" s="90"/>
      <c r="D40" s="90" t="s">
        <v>119</v>
      </c>
      <c r="E40" s="90"/>
      <c r="F40" s="91" t="s">
        <v>120</v>
      </c>
      <c r="G40" s="52">
        <v>4000</v>
      </c>
      <c r="H40" s="52">
        <v>7000</v>
      </c>
      <c r="I40" s="52">
        <v>7000</v>
      </c>
      <c r="J40" s="38"/>
      <c r="K40" s="34">
        <v>2270</v>
      </c>
      <c r="S40" s="20" t="str">
        <f t="shared" si="2"/>
        <v>0549.??</v>
      </c>
      <c r="T40" t="str">
        <f t="shared" si="3"/>
        <v>0549</v>
      </c>
    </row>
    <row r="41" spans="1:20" s="49" customFormat="1" ht="12.75">
      <c r="A41" s="26"/>
      <c r="B41" s="27"/>
      <c r="C41" s="27" t="s">
        <v>770</v>
      </c>
      <c r="D41" s="27"/>
      <c r="E41" s="27"/>
      <c r="F41" s="29" t="s">
        <v>772</v>
      </c>
      <c r="G41" s="48">
        <f>SUMIF($T42:$T$243,$S41,G42:G$243)</f>
        <v>200000</v>
      </c>
      <c r="H41" s="48">
        <f>SUMIF($T42:$T$243,$S41,H42:H$243)</f>
        <v>200000</v>
      </c>
      <c r="I41" s="48">
        <f>SUMIF($T42:$T$243,$S41,I42:I$243)</f>
        <v>200000</v>
      </c>
      <c r="J41" s="30">
        <f>SUMIF($T42:$T$243,$S41,J42:J$243)</f>
        <v>0</v>
      </c>
      <c r="K41" s="48">
        <f>SUMIF($T42:$T$243,$S41,K42:K$243)</f>
        <v>147844.69</v>
      </c>
      <c r="L41"/>
      <c r="R41"/>
      <c r="S41" s="20" t="str">
        <f t="shared" si="2"/>
        <v>056?</v>
      </c>
      <c r="T41" t="str">
        <f t="shared" si="3"/>
        <v>056</v>
      </c>
    </row>
    <row r="42" spans="1:20" ht="12.75">
      <c r="A42" s="89"/>
      <c r="B42" s="90"/>
      <c r="C42" s="90"/>
      <c r="D42" s="90" t="s">
        <v>771</v>
      </c>
      <c r="E42" s="90"/>
      <c r="F42" s="91" t="s">
        <v>773</v>
      </c>
      <c r="G42" s="52">
        <v>200000</v>
      </c>
      <c r="H42" s="52">
        <v>200000</v>
      </c>
      <c r="I42" s="52">
        <v>200000</v>
      </c>
      <c r="J42" s="38"/>
      <c r="K42" s="34">
        <v>147844.69</v>
      </c>
      <c r="S42" s="20" t="str">
        <f t="shared" si="2"/>
        <v>0561.??</v>
      </c>
      <c r="T42" t="str">
        <f t="shared" si="3"/>
        <v>0561</v>
      </c>
    </row>
    <row r="43" spans="1:20" ht="12.75">
      <c r="A43" s="21"/>
      <c r="B43" s="22" t="s">
        <v>124</v>
      </c>
      <c r="C43" s="22"/>
      <c r="D43" s="22"/>
      <c r="E43" s="22"/>
      <c r="F43" s="24" t="s">
        <v>125</v>
      </c>
      <c r="G43" s="25">
        <f>SUMIF($T44:$T$243,$S43,G44:G$243)</f>
        <v>260000</v>
      </c>
      <c r="H43" s="25">
        <f>SUMIF($T44:$T$243,$S43,H44:H$243)</f>
        <v>246000</v>
      </c>
      <c r="I43" s="25">
        <f>SUMIF($T44:$T$243,$S43,I44:I$243)</f>
        <v>246000</v>
      </c>
      <c r="J43" s="25">
        <f>SUMIF($T44:$T$243,$S43,J44:J$243)</f>
        <v>0</v>
      </c>
      <c r="K43" s="25">
        <f>SUMIF($T44:$T$243,$S43,K44:K$243)</f>
        <v>267996.71</v>
      </c>
      <c r="S43" s="20" t="str">
        <f t="shared" si="2"/>
        <v>06?</v>
      </c>
      <c r="T43" t="str">
        <f t="shared" si="3"/>
        <v>06</v>
      </c>
    </row>
    <row r="44" spans="1:20" ht="12.75">
      <c r="A44" s="26"/>
      <c r="B44" s="27"/>
      <c r="C44" s="27" t="s">
        <v>126</v>
      </c>
      <c r="D44" s="27"/>
      <c r="E44" s="27"/>
      <c r="F44" s="29" t="s">
        <v>127</v>
      </c>
      <c r="G44" s="30">
        <f>SUMIF($T45:$T$243,$S44,G45:G$243)</f>
        <v>250000</v>
      </c>
      <c r="H44" s="30">
        <f>SUMIF($T45:$T$243,$S44,H45:H$243)</f>
        <v>231000</v>
      </c>
      <c r="I44" s="30">
        <f>SUMIF($T45:$T$243,$S44,I45:I$243)</f>
        <v>231000</v>
      </c>
      <c r="J44" s="30">
        <f>SUMIF($T45:$T$243,$S44,J45:J$243)</f>
        <v>0</v>
      </c>
      <c r="K44" s="30">
        <f>SUMIF($T45:$T$243,$S44,K45:K$243)</f>
        <v>258997.22</v>
      </c>
      <c r="S44" s="20" t="str">
        <f t="shared" si="2"/>
        <v>063?</v>
      </c>
      <c r="T44" t="str">
        <f t="shared" si="3"/>
        <v>063</v>
      </c>
    </row>
    <row r="45" spans="1:20" ht="12.75">
      <c r="A45" s="89"/>
      <c r="B45" s="90"/>
      <c r="C45" s="90"/>
      <c r="D45" s="90" t="s">
        <v>128</v>
      </c>
      <c r="E45" s="90"/>
      <c r="F45" s="92" t="s">
        <v>129</v>
      </c>
      <c r="G45" s="52">
        <v>250000</v>
      </c>
      <c r="H45" s="52">
        <v>231000</v>
      </c>
      <c r="I45" s="52">
        <v>231000</v>
      </c>
      <c r="J45" s="38"/>
      <c r="K45" s="34">
        <v>258997.22</v>
      </c>
      <c r="S45" s="20" t="str">
        <f t="shared" si="2"/>
        <v>0631.??</v>
      </c>
      <c r="T45" t="str">
        <f t="shared" si="3"/>
        <v>0631</v>
      </c>
    </row>
    <row r="46" spans="1:20" ht="12.75">
      <c r="A46" s="26"/>
      <c r="B46" s="27"/>
      <c r="C46" s="27" t="s">
        <v>131</v>
      </c>
      <c r="D46" s="27"/>
      <c r="E46" s="27"/>
      <c r="F46" s="29" t="s">
        <v>132</v>
      </c>
      <c r="G46" s="30">
        <f>SUMIF($T47:$T$243,$S46,G47:G$243)</f>
        <v>10000</v>
      </c>
      <c r="H46" s="30">
        <f>SUMIF($T47:$T$243,$S46,H47:H$243)</f>
        <v>15000</v>
      </c>
      <c r="I46" s="30">
        <f>SUMIF($T47:$T$243,$S46,I47:I$243)</f>
        <v>15000</v>
      </c>
      <c r="J46" s="30">
        <f>SUMIF($T47:$T$243,$S46,J47:J$243)</f>
        <v>0</v>
      </c>
      <c r="K46" s="30">
        <f>SUMIF($T47:$T$243,$S46,K47:K$243)</f>
        <v>8999.49</v>
      </c>
      <c r="S46" s="20" t="str">
        <f t="shared" si="2"/>
        <v>067?</v>
      </c>
      <c r="T46" t="str">
        <f t="shared" si="3"/>
        <v>067</v>
      </c>
    </row>
    <row r="47" spans="1:20" ht="12.75">
      <c r="A47" s="89"/>
      <c r="B47" s="90"/>
      <c r="C47" s="90"/>
      <c r="D47" s="93" t="s">
        <v>133</v>
      </c>
      <c r="E47" s="90"/>
      <c r="F47" s="91" t="s">
        <v>134</v>
      </c>
      <c r="G47" s="52">
        <v>10000</v>
      </c>
      <c r="H47" s="52">
        <v>15000</v>
      </c>
      <c r="I47" s="52">
        <v>15000</v>
      </c>
      <c r="J47" s="38"/>
      <c r="K47" s="34">
        <v>8999.49</v>
      </c>
      <c r="S47" s="20" t="str">
        <f t="shared" si="2"/>
        <v>0674.??</v>
      </c>
      <c r="T47" t="str">
        <f t="shared" si="3"/>
        <v>0674</v>
      </c>
    </row>
    <row r="48" spans="1:20" ht="12.75">
      <c r="A48" s="21"/>
      <c r="B48" s="22" t="s">
        <v>135</v>
      </c>
      <c r="C48" s="22"/>
      <c r="D48" s="22"/>
      <c r="E48" s="22"/>
      <c r="F48" s="24" t="s">
        <v>136</v>
      </c>
      <c r="G48" s="25">
        <f>SUMIF($T49:$T$243,$S48,G49:G$243)</f>
        <v>5000</v>
      </c>
      <c r="H48" s="25">
        <f>SUMIF($T49:$T$243,$S48,H49:H$243)</f>
        <v>4900</v>
      </c>
      <c r="I48" s="25">
        <f>SUMIF($T49:$T$243,$S48,I49:I$243)</f>
        <v>4900</v>
      </c>
      <c r="J48" s="25">
        <f>SUMIF($T49:$T$243,$S48,J49:J$243)</f>
        <v>0</v>
      </c>
      <c r="K48" s="25">
        <f>SUMIF($T49:$T$243,$S48,K49:K$243)</f>
        <v>4362.26</v>
      </c>
      <c r="S48" s="20" t="str">
        <f t="shared" si="2"/>
        <v>07?</v>
      </c>
      <c r="T48" t="str">
        <f t="shared" si="3"/>
        <v>07</v>
      </c>
    </row>
    <row r="49" spans="1:20" ht="12.75">
      <c r="A49" s="26"/>
      <c r="B49" s="27"/>
      <c r="C49" s="27" t="s">
        <v>137</v>
      </c>
      <c r="D49" s="27"/>
      <c r="E49" s="27"/>
      <c r="F49" s="29" t="s">
        <v>138</v>
      </c>
      <c r="G49" s="30">
        <f>SUMIF($T50:$T$243,$S49,G50:G$243)</f>
        <v>3000</v>
      </c>
      <c r="H49" s="30">
        <f>SUMIF($T50:$T$243,$S49,H50:H$243)</f>
        <v>3000</v>
      </c>
      <c r="I49" s="30">
        <f>SUMIF($T50:$T$243,$S49,I50:I$243)</f>
        <v>3000</v>
      </c>
      <c r="J49" s="30">
        <f>SUMIF($T50:$T$243,$S49,J50:J$243)</f>
        <v>0</v>
      </c>
      <c r="K49" s="30">
        <f>SUMIF($T50:$T$243,$S49,K50:K$243)</f>
        <v>2977.96</v>
      </c>
      <c r="S49" s="20" t="str">
        <f t="shared" si="2"/>
        <v>071?</v>
      </c>
      <c r="T49" t="str">
        <f t="shared" si="3"/>
        <v>071</v>
      </c>
    </row>
    <row r="50" spans="1:20" ht="12.75">
      <c r="A50" s="89"/>
      <c r="B50" s="90"/>
      <c r="C50" s="90"/>
      <c r="D50" s="90" t="s">
        <v>139</v>
      </c>
      <c r="E50" s="90"/>
      <c r="F50" s="91" t="s">
        <v>140</v>
      </c>
      <c r="G50" s="52">
        <v>3000</v>
      </c>
      <c r="H50" s="52">
        <v>3000</v>
      </c>
      <c r="I50" s="52">
        <v>3000</v>
      </c>
      <c r="J50" s="38"/>
      <c r="K50" s="34">
        <v>2977.96</v>
      </c>
      <c r="S50" s="20" t="str">
        <f t="shared" si="2"/>
        <v>0711.??</v>
      </c>
      <c r="T50" t="str">
        <f t="shared" si="3"/>
        <v>0711</v>
      </c>
    </row>
    <row r="51" spans="1:20" ht="12.75">
      <c r="A51" s="26"/>
      <c r="B51" s="27"/>
      <c r="C51" s="27" t="s">
        <v>141</v>
      </c>
      <c r="D51" s="27"/>
      <c r="E51" s="27"/>
      <c r="F51" s="29" t="s">
        <v>142</v>
      </c>
      <c r="G51" s="30">
        <f>SUMIF($T52:$T$243,$S51,G52:G$243)</f>
        <v>2000</v>
      </c>
      <c r="H51" s="30">
        <f>SUMIF($T52:$T$243,$S51,H52:H$243)</f>
        <v>1900</v>
      </c>
      <c r="I51" s="30">
        <f>SUMIF($T52:$T$243,$S51,I52:I$243)</f>
        <v>1900</v>
      </c>
      <c r="J51" s="30">
        <f>SUMIF($T52:$T$243,$S51,J52:J$243)</f>
        <v>0</v>
      </c>
      <c r="K51" s="30">
        <f>SUMIF($T52:$T$243,$S51,K52:K$243)</f>
        <v>1384.3</v>
      </c>
      <c r="S51" s="20" t="str">
        <f t="shared" si="2"/>
        <v>072?</v>
      </c>
      <c r="T51" t="str">
        <f t="shared" si="3"/>
        <v>072</v>
      </c>
    </row>
    <row r="52" spans="1:20" ht="12.75">
      <c r="A52" s="89"/>
      <c r="B52" s="90"/>
      <c r="C52" s="90"/>
      <c r="D52" s="90" t="s">
        <v>143</v>
      </c>
      <c r="E52" s="90"/>
      <c r="F52" s="91" t="s">
        <v>144</v>
      </c>
      <c r="G52" s="52">
        <v>2000</v>
      </c>
      <c r="H52" s="52">
        <v>1900</v>
      </c>
      <c r="I52" s="52">
        <v>1900</v>
      </c>
      <c r="J52" s="38"/>
      <c r="K52" s="34">
        <v>1384.3</v>
      </c>
      <c r="S52" s="20" t="str">
        <f t="shared" si="2"/>
        <v>0721.??</v>
      </c>
      <c r="T52" t="str">
        <f t="shared" si="3"/>
        <v>0721</v>
      </c>
    </row>
    <row r="53" spans="1:20" ht="12.75">
      <c r="A53" s="21"/>
      <c r="B53" s="22" t="s">
        <v>485</v>
      </c>
      <c r="C53" s="22"/>
      <c r="D53" s="22"/>
      <c r="E53" s="22"/>
      <c r="F53" s="24" t="s">
        <v>486</v>
      </c>
      <c r="G53" s="25">
        <f>SUMIF($T54:$T$243,$S53,G54:G$243)</f>
        <v>830100</v>
      </c>
      <c r="H53" s="25">
        <f>SUMIF($T54:$T$243,$S53,H54:H$243)</f>
        <v>942100</v>
      </c>
      <c r="I53" s="25">
        <f>SUMIF($T54:$T$243,$S53,I54:I$243)</f>
        <v>942100</v>
      </c>
      <c r="J53" s="25">
        <f>SUMIF($T54:$T$243,$S53,J54:J$243)</f>
        <v>0</v>
      </c>
      <c r="K53" s="25">
        <f>SUMIF($T54:$T$243,$S53,K54:K$243)</f>
        <v>692063.03</v>
      </c>
      <c r="S53" s="20" t="str">
        <f t="shared" si="2"/>
        <v>08?</v>
      </c>
      <c r="T53" t="str">
        <f t="shared" si="3"/>
        <v>08</v>
      </c>
    </row>
    <row r="54" spans="1:20" ht="12.75">
      <c r="A54" s="26"/>
      <c r="B54" s="27"/>
      <c r="C54" s="27" t="s">
        <v>487</v>
      </c>
      <c r="D54" s="27"/>
      <c r="E54" s="27"/>
      <c r="F54" s="29" t="s">
        <v>488</v>
      </c>
      <c r="G54" s="30">
        <f>SUMIF($T55:$T$243,$S54,G55:G$243)</f>
        <v>85100</v>
      </c>
      <c r="H54" s="30">
        <f>SUMIF($T55:$T$243,$S54,H55:H$243)</f>
        <v>95100</v>
      </c>
      <c r="I54" s="30">
        <f>SUMIF($T55:$T$243,$S54,I55:I$243)</f>
        <v>95100</v>
      </c>
      <c r="J54" s="30">
        <f>SUMIF($T55:$T$243,$S54,J55:J$243)</f>
        <v>0</v>
      </c>
      <c r="K54" s="30">
        <f>SUMIF($T55:$T$243,$S54,K55:K$243)</f>
        <v>85697.19</v>
      </c>
      <c r="S54" s="20" t="str">
        <f t="shared" si="2"/>
        <v>081?</v>
      </c>
      <c r="T54" t="str">
        <f t="shared" si="3"/>
        <v>081</v>
      </c>
    </row>
    <row r="55" spans="1:20" ht="12.75">
      <c r="A55" s="89"/>
      <c r="B55" s="90"/>
      <c r="C55" s="90"/>
      <c r="D55" s="90" t="s">
        <v>489</v>
      </c>
      <c r="E55" s="90"/>
      <c r="F55" s="91" t="s">
        <v>490</v>
      </c>
      <c r="G55" s="52">
        <v>15000</v>
      </c>
      <c r="H55" s="52">
        <v>15000</v>
      </c>
      <c r="I55" s="52">
        <v>15000</v>
      </c>
      <c r="J55" s="38"/>
      <c r="K55" s="34">
        <v>15761.82</v>
      </c>
      <c r="S55" s="20" t="str">
        <f aca="true" t="shared" si="4" ref="S55:S103">IF(LEN(T55)&gt;=6,"",IF(LEN(T55)=0,"",IF(LEN(T55)=4,CONCATENATE(T55,".??"),CONCATENATE(T55,"?"))))</f>
        <v>0813.??</v>
      </c>
      <c r="T55" t="str">
        <f t="shared" si="3"/>
        <v>0813</v>
      </c>
    </row>
    <row r="56" spans="1:20" ht="12.75">
      <c r="A56" s="89"/>
      <c r="B56" s="90"/>
      <c r="C56" s="90"/>
      <c r="D56" s="90" t="s">
        <v>491</v>
      </c>
      <c r="E56" s="90"/>
      <c r="F56" s="91" t="s">
        <v>492</v>
      </c>
      <c r="G56" s="52">
        <v>70000</v>
      </c>
      <c r="H56" s="52">
        <v>80000</v>
      </c>
      <c r="I56" s="52">
        <v>80000</v>
      </c>
      <c r="J56" s="38"/>
      <c r="K56" s="34">
        <v>69878.52</v>
      </c>
      <c r="S56" s="20" t="str">
        <f t="shared" si="4"/>
        <v>0815.??</v>
      </c>
      <c r="T56" t="str">
        <f t="shared" si="3"/>
        <v>0815</v>
      </c>
    </row>
    <row r="57" spans="1:20" ht="12.75">
      <c r="A57" s="89"/>
      <c r="B57" s="90"/>
      <c r="C57" s="90"/>
      <c r="D57" s="90" t="s">
        <v>493</v>
      </c>
      <c r="E57" s="90"/>
      <c r="F57" s="91" t="s">
        <v>494</v>
      </c>
      <c r="G57" s="52">
        <v>100</v>
      </c>
      <c r="H57" s="52">
        <v>100</v>
      </c>
      <c r="I57" s="52">
        <v>100</v>
      </c>
      <c r="J57" s="38"/>
      <c r="K57" s="34">
        <v>56.85</v>
      </c>
      <c r="S57" s="20" t="str">
        <f t="shared" si="4"/>
        <v>0819.??</v>
      </c>
      <c r="T57" t="str">
        <f aca="true" t="shared" si="5" ref="T57:T106">CONCATENATE(A57,B57,C57,D57,E57,)</f>
        <v>0819</v>
      </c>
    </row>
    <row r="58" spans="1:20" ht="12.75">
      <c r="A58" s="26"/>
      <c r="B58" s="27"/>
      <c r="C58" s="27" t="s">
        <v>495</v>
      </c>
      <c r="D58" s="27"/>
      <c r="E58" s="27"/>
      <c r="F58" s="29" t="s">
        <v>496</v>
      </c>
      <c r="G58" s="30">
        <f>SUMIF($T59:$T$243,$S58,G59:G$243)</f>
        <v>0</v>
      </c>
      <c r="H58" s="30">
        <f>SUMIF($T59:$T$243,$S58,H59:H$243)</f>
        <v>1500</v>
      </c>
      <c r="I58" s="30">
        <f>SUMIF($T59:$T$243,$S58,I59:I$243)</f>
        <v>1500</v>
      </c>
      <c r="J58" s="30">
        <f>SUMIF($T59:$T$243,$S58,J59:J$243)</f>
        <v>0</v>
      </c>
      <c r="K58" s="30">
        <f>SUMIF($T59:$T$243,$S58,K59:K$243)</f>
        <v>0</v>
      </c>
      <c r="S58" s="20" t="str">
        <f t="shared" si="4"/>
        <v>082?</v>
      </c>
      <c r="T58" t="str">
        <f t="shared" si="5"/>
        <v>082</v>
      </c>
    </row>
    <row r="59" spans="1:20" ht="12.75">
      <c r="A59" s="89"/>
      <c r="B59" s="90"/>
      <c r="C59" s="90"/>
      <c r="D59" s="90" t="s">
        <v>497</v>
      </c>
      <c r="E59" s="90"/>
      <c r="F59" s="91" t="s">
        <v>498</v>
      </c>
      <c r="G59" s="52"/>
      <c r="H59" s="52">
        <v>500</v>
      </c>
      <c r="I59" s="52">
        <v>500</v>
      </c>
      <c r="J59" s="38"/>
      <c r="K59" s="52">
        <v>0</v>
      </c>
      <c r="S59" s="20" t="str">
        <f t="shared" si="4"/>
        <v>0822.??</v>
      </c>
      <c r="T59" t="str">
        <f t="shared" si="5"/>
        <v>0822</v>
      </c>
    </row>
    <row r="60" spans="1:20" ht="12.75">
      <c r="A60" s="89"/>
      <c r="B60" s="90"/>
      <c r="C60" s="90"/>
      <c r="D60" s="90" t="s">
        <v>499</v>
      </c>
      <c r="E60" s="90"/>
      <c r="F60" s="91" t="s">
        <v>500</v>
      </c>
      <c r="G60" s="52"/>
      <c r="H60" s="52">
        <v>1000</v>
      </c>
      <c r="I60" s="52">
        <v>1000</v>
      </c>
      <c r="J60" s="38"/>
      <c r="K60" s="52">
        <v>0</v>
      </c>
      <c r="S60" s="20" t="str">
        <f t="shared" si="4"/>
        <v>0824.??</v>
      </c>
      <c r="T60" t="str">
        <f t="shared" si="5"/>
        <v>0824</v>
      </c>
    </row>
    <row r="61" spans="1:20" ht="12.75">
      <c r="A61" s="26"/>
      <c r="B61" s="27"/>
      <c r="C61" s="27" t="s">
        <v>502</v>
      </c>
      <c r="D61" s="27"/>
      <c r="E61" s="27"/>
      <c r="F61" s="29" t="s">
        <v>503</v>
      </c>
      <c r="G61" s="30">
        <f>SUMIF($T62:$T$243,$S61,G62:G$243)</f>
        <v>38000</v>
      </c>
      <c r="H61" s="30">
        <f>SUMIF($T62:$T$243,$S61,H62:H$243)</f>
        <v>34000</v>
      </c>
      <c r="I61" s="30">
        <f>SUMIF($T62:$T$243,$S61,I62:I$243)</f>
        <v>34000</v>
      </c>
      <c r="J61" s="30">
        <f>SUMIF($T62:$T$243,$S61,J62:J$243)</f>
        <v>0</v>
      </c>
      <c r="K61" s="30">
        <f>SUMIF($T62:$T$243,$S61,K62:K$243)</f>
        <v>34687.96</v>
      </c>
      <c r="S61" s="20" t="str">
        <f t="shared" si="4"/>
        <v>083?</v>
      </c>
      <c r="T61" t="str">
        <f t="shared" si="5"/>
        <v>083</v>
      </c>
    </row>
    <row r="62" spans="1:20" ht="12.75">
      <c r="A62" s="89"/>
      <c r="B62" s="90"/>
      <c r="C62" s="90"/>
      <c r="D62" s="90" t="s">
        <v>504</v>
      </c>
      <c r="E62" s="90"/>
      <c r="F62" s="91" t="s">
        <v>505</v>
      </c>
      <c r="G62" s="52">
        <v>3000</v>
      </c>
      <c r="H62" s="52">
        <v>4000</v>
      </c>
      <c r="I62" s="52">
        <v>4000</v>
      </c>
      <c r="J62" s="38"/>
      <c r="K62" s="34">
        <v>2549.4</v>
      </c>
      <c r="S62" s="20" t="str">
        <f t="shared" si="4"/>
        <v>0831.??</v>
      </c>
      <c r="T62" t="str">
        <f t="shared" si="5"/>
        <v>0831</v>
      </c>
    </row>
    <row r="63" spans="1:20" ht="12.75">
      <c r="A63" s="89"/>
      <c r="B63" s="90"/>
      <c r="C63" s="90"/>
      <c r="D63" s="90" t="s">
        <v>506</v>
      </c>
      <c r="E63" s="90"/>
      <c r="F63" s="91" t="s">
        <v>507</v>
      </c>
      <c r="G63" s="52">
        <v>35000</v>
      </c>
      <c r="H63" s="52">
        <v>30000</v>
      </c>
      <c r="I63" s="52">
        <v>30000</v>
      </c>
      <c r="J63" s="38"/>
      <c r="K63" s="34">
        <v>32138.56</v>
      </c>
      <c r="S63" s="20" t="str">
        <f t="shared" si="4"/>
        <v>0832.??</v>
      </c>
      <c r="T63" t="str">
        <f t="shared" si="5"/>
        <v>0832</v>
      </c>
    </row>
    <row r="64" spans="1:20" ht="12.75">
      <c r="A64" s="26"/>
      <c r="B64" s="27"/>
      <c r="C64" s="27" t="s">
        <v>509</v>
      </c>
      <c r="D64" s="27"/>
      <c r="E64" s="27"/>
      <c r="F64" s="29" t="s">
        <v>510</v>
      </c>
      <c r="G64" s="30">
        <f>SUMIF($T65:$T$243,$S64,G65:G$243)</f>
        <v>562000</v>
      </c>
      <c r="H64" s="30">
        <f>SUMIF($T65:$T$243,$S64,H65:H$243)</f>
        <v>610500</v>
      </c>
      <c r="I64" s="30">
        <f>SUMIF($T65:$T$243,$S64,I65:I$243)</f>
        <v>610500</v>
      </c>
      <c r="J64" s="30">
        <f>SUMIF($T65:$T$243,$S64,J65:J$243)</f>
        <v>0</v>
      </c>
      <c r="K64" s="30">
        <f>SUMIF($T65:$T$243,$S64,K65:K$243)</f>
        <v>440278.97000000003</v>
      </c>
      <c r="S64" s="20" t="str">
        <f t="shared" si="4"/>
        <v>084?</v>
      </c>
      <c r="T64" t="str">
        <f t="shared" si="5"/>
        <v>084</v>
      </c>
    </row>
    <row r="65" spans="1:20" ht="12.75">
      <c r="A65" s="89"/>
      <c r="B65" s="90"/>
      <c r="C65" s="90"/>
      <c r="D65" s="90" t="s">
        <v>511</v>
      </c>
      <c r="E65" s="90"/>
      <c r="F65" s="91" t="s">
        <v>512</v>
      </c>
      <c r="G65" s="52">
        <v>40000</v>
      </c>
      <c r="H65" s="52">
        <v>35000</v>
      </c>
      <c r="I65" s="52">
        <v>35000</v>
      </c>
      <c r="J65" s="38"/>
      <c r="K65" s="34">
        <v>24985.32</v>
      </c>
      <c r="S65" s="20" t="str">
        <f t="shared" si="4"/>
        <v>0841.??</v>
      </c>
      <c r="T65" t="str">
        <f t="shared" si="5"/>
        <v>0841</v>
      </c>
    </row>
    <row r="66" spans="1:20" ht="12.75">
      <c r="A66" s="89"/>
      <c r="B66" s="90"/>
      <c r="C66" s="90"/>
      <c r="D66" s="90" t="s">
        <v>513</v>
      </c>
      <c r="E66" s="90"/>
      <c r="F66" s="91" t="s">
        <v>514</v>
      </c>
      <c r="G66" s="52">
        <v>515000</v>
      </c>
      <c r="H66" s="52">
        <v>500000</v>
      </c>
      <c r="I66" s="52">
        <v>500000</v>
      </c>
      <c r="J66" s="38"/>
      <c r="K66" s="34">
        <v>406215.27</v>
      </c>
      <c r="S66" s="20" t="str">
        <f t="shared" si="4"/>
        <v>0842.??</v>
      </c>
      <c r="T66" t="str">
        <f t="shared" si="5"/>
        <v>0842</v>
      </c>
    </row>
    <row r="67" spans="1:20" ht="12.75">
      <c r="A67" s="89"/>
      <c r="B67" s="90"/>
      <c r="C67" s="90"/>
      <c r="D67" s="90" t="s">
        <v>515</v>
      </c>
      <c r="E67" s="90"/>
      <c r="F67" s="91" t="s">
        <v>516</v>
      </c>
      <c r="G67" s="52"/>
      <c r="H67" s="52">
        <v>500</v>
      </c>
      <c r="I67" s="52">
        <v>500</v>
      </c>
      <c r="J67" s="38"/>
      <c r="K67" s="52">
        <v>0</v>
      </c>
      <c r="S67" s="20" t="str">
        <f t="shared" si="4"/>
        <v>0843.??</v>
      </c>
      <c r="T67" t="str">
        <f t="shared" si="5"/>
        <v>0843</v>
      </c>
    </row>
    <row r="68" spans="1:20" ht="12.75">
      <c r="A68" s="89"/>
      <c r="B68" s="90"/>
      <c r="C68" s="90"/>
      <c r="D68" s="90" t="s">
        <v>517</v>
      </c>
      <c r="E68" s="90"/>
      <c r="F68" s="91" t="s">
        <v>518</v>
      </c>
      <c r="G68" s="52">
        <v>7000</v>
      </c>
      <c r="H68" s="52">
        <v>10000</v>
      </c>
      <c r="I68" s="52">
        <v>10000</v>
      </c>
      <c r="J68" s="38"/>
      <c r="K68" s="34">
        <v>9078.38</v>
      </c>
      <c r="S68" s="20" t="str">
        <f t="shared" si="4"/>
        <v>0844.??</v>
      </c>
      <c r="T68" t="str">
        <f t="shared" si="5"/>
        <v>0844</v>
      </c>
    </row>
    <row r="69" spans="1:20" ht="12.75">
      <c r="A69" s="89"/>
      <c r="B69" s="90"/>
      <c r="C69" s="90"/>
      <c r="D69" s="90" t="s">
        <v>519</v>
      </c>
      <c r="E69" s="90"/>
      <c r="F69" s="91" t="s">
        <v>520</v>
      </c>
      <c r="G69" s="52">
        <v>0</v>
      </c>
      <c r="H69" s="52">
        <v>65000</v>
      </c>
      <c r="I69" s="52">
        <v>65000</v>
      </c>
      <c r="J69" s="38"/>
      <c r="K69" s="34">
        <v>0</v>
      </c>
      <c r="S69" s="20" t="str">
        <f t="shared" si="4"/>
        <v>0849.??</v>
      </c>
      <c r="T69" t="str">
        <f t="shared" si="5"/>
        <v>0849</v>
      </c>
    </row>
    <row r="70" spans="1:20" ht="12.75">
      <c r="A70" s="26"/>
      <c r="B70" s="27"/>
      <c r="C70" s="27" t="s">
        <v>164</v>
      </c>
      <c r="D70" s="27"/>
      <c r="E70" s="27"/>
      <c r="F70" s="29" t="s">
        <v>165</v>
      </c>
      <c r="G70" s="30">
        <f>SUMIF($T71:$T$243,$S70,G71:G$243)</f>
        <v>9000</v>
      </c>
      <c r="H70" s="30">
        <f>SUMIF($T71:$T$243,$S70,H71:H$243)</f>
        <v>15000</v>
      </c>
      <c r="I70" s="30">
        <f>SUMIF($T71:$T$243,$S70,I71:I$243)</f>
        <v>15000</v>
      </c>
      <c r="J70" s="30">
        <f>SUMIF($T71:$T$243,$S70,J71:J$243)</f>
        <v>0</v>
      </c>
      <c r="K70" s="30">
        <f>SUMIF($T71:$T$243,$S70,K71:K$243)</f>
        <v>11016.73</v>
      </c>
      <c r="S70" s="20" t="str">
        <f t="shared" si="4"/>
        <v>085?</v>
      </c>
      <c r="T70" t="str">
        <f t="shared" si="5"/>
        <v>085</v>
      </c>
    </row>
    <row r="71" spans="1:20" ht="12.75">
      <c r="A71" s="89"/>
      <c r="B71" s="90"/>
      <c r="C71" s="90"/>
      <c r="D71" s="90" t="s">
        <v>166</v>
      </c>
      <c r="E71" s="90"/>
      <c r="F71" s="91" t="s">
        <v>167</v>
      </c>
      <c r="G71" s="52">
        <v>3000</v>
      </c>
      <c r="H71" s="52">
        <v>4000</v>
      </c>
      <c r="I71" s="52">
        <v>4000</v>
      </c>
      <c r="J71" s="38"/>
      <c r="K71" s="34">
        <v>3921.9</v>
      </c>
      <c r="S71" s="20" t="str">
        <f t="shared" si="4"/>
        <v>0851.??</v>
      </c>
      <c r="T71" t="str">
        <f t="shared" si="5"/>
        <v>0851</v>
      </c>
    </row>
    <row r="72" spans="1:20" ht="12.75">
      <c r="A72" s="89"/>
      <c r="B72" s="90"/>
      <c r="C72" s="90"/>
      <c r="D72" s="90" t="s">
        <v>168</v>
      </c>
      <c r="E72" s="90"/>
      <c r="F72" s="91" t="s">
        <v>169</v>
      </c>
      <c r="G72" s="52"/>
      <c r="H72" s="52">
        <v>2000</v>
      </c>
      <c r="I72" s="52">
        <v>2000</v>
      </c>
      <c r="J72" s="38"/>
      <c r="K72" s="34"/>
      <c r="S72" s="20" t="str">
        <f t="shared" si="4"/>
        <v>0855.??</v>
      </c>
      <c r="T72" t="str">
        <f t="shared" si="5"/>
        <v>0855</v>
      </c>
    </row>
    <row r="73" spans="1:20" ht="12.75">
      <c r="A73" s="89"/>
      <c r="B73" s="90"/>
      <c r="C73" s="90"/>
      <c r="D73" s="90" t="s">
        <v>170</v>
      </c>
      <c r="E73" s="90"/>
      <c r="F73" s="91" t="s">
        <v>171</v>
      </c>
      <c r="G73" s="52"/>
      <c r="H73" s="52">
        <v>2000</v>
      </c>
      <c r="I73" s="52">
        <v>2000</v>
      </c>
      <c r="J73" s="38"/>
      <c r="K73" s="34"/>
      <c r="S73" s="20" t="str">
        <f t="shared" si="4"/>
        <v>0856.??</v>
      </c>
      <c r="T73" t="str">
        <f t="shared" si="5"/>
        <v>0856</v>
      </c>
    </row>
    <row r="74" spans="1:20" ht="12.75">
      <c r="A74" s="89"/>
      <c r="B74" s="90"/>
      <c r="C74" s="90"/>
      <c r="D74" s="90" t="s">
        <v>172</v>
      </c>
      <c r="E74" s="90"/>
      <c r="F74" s="91" t="s">
        <v>173</v>
      </c>
      <c r="G74" s="52"/>
      <c r="H74" s="52">
        <v>1000</v>
      </c>
      <c r="I74" s="52">
        <v>1000</v>
      </c>
      <c r="J74" s="38"/>
      <c r="K74" s="52"/>
      <c r="S74" s="20" t="str">
        <f t="shared" si="4"/>
        <v>0857.??</v>
      </c>
      <c r="T74" t="str">
        <f t="shared" si="5"/>
        <v>0857</v>
      </c>
    </row>
    <row r="75" spans="1:20" ht="12.75">
      <c r="A75" s="89"/>
      <c r="B75" s="90"/>
      <c r="C75" s="90"/>
      <c r="D75" s="90" t="s">
        <v>174</v>
      </c>
      <c r="E75" s="90"/>
      <c r="F75" s="91" t="s">
        <v>175</v>
      </c>
      <c r="G75" s="52">
        <v>6000</v>
      </c>
      <c r="H75" s="52">
        <v>6000</v>
      </c>
      <c r="I75" s="52">
        <v>6000</v>
      </c>
      <c r="J75" s="38"/>
      <c r="K75" s="34">
        <v>7094.83</v>
      </c>
      <c r="S75" s="20" t="str">
        <f t="shared" si="4"/>
        <v>0859.??</v>
      </c>
      <c r="T75" t="str">
        <f t="shared" si="5"/>
        <v>0859</v>
      </c>
    </row>
    <row r="76" spans="1:20" ht="12.75">
      <c r="A76" s="26"/>
      <c r="B76" s="27"/>
      <c r="C76" s="27" t="s">
        <v>176</v>
      </c>
      <c r="D76" s="27"/>
      <c r="E76" s="27"/>
      <c r="F76" s="29" t="s">
        <v>177</v>
      </c>
      <c r="G76" s="30">
        <f>SUMIF($T77:$T$243,$S76,G77:G$243)</f>
        <v>0</v>
      </c>
      <c r="H76" s="30">
        <f>SUMIF($T77:$T$243,$S76,H77:H$243)</f>
        <v>2000</v>
      </c>
      <c r="I76" s="30">
        <f>SUMIF($T77:$T$243,$S76,I77:I$243)</f>
        <v>2000</v>
      </c>
      <c r="J76" s="30">
        <f>SUMIF($T77:$T$243,$S76,J77:J$243)</f>
        <v>0</v>
      </c>
      <c r="K76" s="30">
        <f>SUMIF($T77:$T$243,$S76,K77:K$243)</f>
        <v>0</v>
      </c>
      <c r="S76" s="20" t="str">
        <f t="shared" si="4"/>
        <v>086?</v>
      </c>
      <c r="T76" t="str">
        <f t="shared" si="5"/>
        <v>086</v>
      </c>
    </row>
    <row r="77" spans="1:20" ht="12.75">
      <c r="A77" s="89"/>
      <c r="B77" s="90"/>
      <c r="C77" s="90"/>
      <c r="D77" s="90" t="s">
        <v>178</v>
      </c>
      <c r="E77" s="90"/>
      <c r="F77" s="91" t="s">
        <v>179</v>
      </c>
      <c r="G77" s="52"/>
      <c r="H77" s="52">
        <v>2000</v>
      </c>
      <c r="I77" s="52">
        <v>2000</v>
      </c>
      <c r="J77" s="38"/>
      <c r="K77" s="34">
        <v>0</v>
      </c>
      <c r="S77" s="20" t="str">
        <f t="shared" si="4"/>
        <v>0863.??</v>
      </c>
      <c r="T77" t="str">
        <f t="shared" si="5"/>
        <v>0863</v>
      </c>
    </row>
    <row r="78" spans="1:20" ht="12.75">
      <c r="A78" s="26"/>
      <c r="B78" s="27"/>
      <c r="C78" s="27" t="s">
        <v>180</v>
      </c>
      <c r="D78" s="27"/>
      <c r="E78" s="27"/>
      <c r="F78" s="29" t="s">
        <v>177</v>
      </c>
      <c r="G78" s="30">
        <f>SUMIF($T79:$T$243,$S78,G79:G$243)</f>
        <v>50500</v>
      </c>
      <c r="H78" s="30">
        <f>SUMIF($T79:$T$243,$S78,H79:H$243)</f>
        <v>70500</v>
      </c>
      <c r="I78" s="30">
        <f>SUMIF($T79:$T$243,$S78,I79:I$243)</f>
        <v>70500</v>
      </c>
      <c r="J78" s="30">
        <f>SUMIF($T79:$T$243,$S78,J79:J$243)</f>
        <v>0</v>
      </c>
      <c r="K78" s="30">
        <f>SUMIF($T79:$T$243,$S78,K79:K$243)</f>
        <v>64980</v>
      </c>
      <c r="S78" s="20" t="str">
        <f t="shared" si="4"/>
        <v>087?</v>
      </c>
      <c r="T78" t="str">
        <f t="shared" si="5"/>
        <v>087</v>
      </c>
    </row>
    <row r="79" spans="1:20" ht="12.75">
      <c r="A79" s="89"/>
      <c r="B79" s="90"/>
      <c r="C79" s="90"/>
      <c r="D79" s="90" t="s">
        <v>181</v>
      </c>
      <c r="E79" s="90"/>
      <c r="F79" s="91" t="s">
        <v>182</v>
      </c>
      <c r="G79" s="52">
        <v>500</v>
      </c>
      <c r="H79" s="52">
        <v>500</v>
      </c>
      <c r="I79" s="52">
        <v>500</v>
      </c>
      <c r="J79" s="38"/>
      <c r="K79" s="34">
        <v>493.23</v>
      </c>
      <c r="S79" s="20" t="str">
        <f t="shared" si="4"/>
        <v>0878.??</v>
      </c>
      <c r="T79" t="str">
        <f t="shared" si="5"/>
        <v>0878</v>
      </c>
    </row>
    <row r="80" spans="1:20" ht="12.75">
      <c r="A80" s="89"/>
      <c r="B80" s="90"/>
      <c r="C80" s="90"/>
      <c r="D80" s="90" t="s">
        <v>183</v>
      </c>
      <c r="E80" s="90"/>
      <c r="F80" s="91" t="s">
        <v>184</v>
      </c>
      <c r="G80" s="52">
        <v>50000</v>
      </c>
      <c r="H80" s="52">
        <v>70000</v>
      </c>
      <c r="I80" s="52">
        <v>70000</v>
      </c>
      <c r="J80" s="38"/>
      <c r="K80" s="34">
        <v>64486.77</v>
      </c>
      <c r="S80" s="20" t="str">
        <f t="shared" si="4"/>
        <v>0879.??</v>
      </c>
      <c r="T80" t="str">
        <f t="shared" si="5"/>
        <v>0879</v>
      </c>
    </row>
    <row r="81" spans="1:20" ht="12.75">
      <c r="A81" s="26"/>
      <c r="B81" s="27"/>
      <c r="C81" s="27" t="s">
        <v>185</v>
      </c>
      <c r="D81" s="27"/>
      <c r="E81" s="27"/>
      <c r="F81" s="29" t="s">
        <v>186</v>
      </c>
      <c r="G81" s="30">
        <f>SUMIF($T82:$T$243,$S81,G82:G$243)</f>
        <v>50500</v>
      </c>
      <c r="H81" s="30">
        <f>SUMIF($T82:$T$243,$S81,H82:H$243)</f>
        <v>68500</v>
      </c>
      <c r="I81" s="30">
        <f>SUMIF($T82:$T$243,$S81,I82:I$243)</f>
        <v>68500</v>
      </c>
      <c r="J81" s="30">
        <f>SUMIF($T82:$T$243,$S81,J82:J$243)</f>
        <v>0</v>
      </c>
      <c r="K81" s="30">
        <f>SUMIF($T82:$T$243,$S81,K82:K$243)</f>
        <v>24321.78</v>
      </c>
      <c r="S81" s="20" t="str">
        <f t="shared" si="4"/>
        <v>088?</v>
      </c>
      <c r="T81" t="str">
        <f t="shared" si="5"/>
        <v>088</v>
      </c>
    </row>
    <row r="82" spans="1:20" ht="12.75">
      <c r="A82" s="89"/>
      <c r="B82" s="90"/>
      <c r="C82" s="90"/>
      <c r="D82" s="90" t="s">
        <v>187</v>
      </c>
      <c r="E82" s="90"/>
      <c r="F82" s="91" t="s">
        <v>188</v>
      </c>
      <c r="G82" s="52">
        <v>20000</v>
      </c>
      <c r="H82" s="52">
        <v>20000</v>
      </c>
      <c r="I82" s="52">
        <v>20000</v>
      </c>
      <c r="J82" s="38"/>
      <c r="K82" s="34">
        <v>980.61</v>
      </c>
      <c r="S82" s="20" t="str">
        <f t="shared" si="4"/>
        <v>0881.??</v>
      </c>
      <c r="T82" t="str">
        <f t="shared" si="5"/>
        <v>0881</v>
      </c>
    </row>
    <row r="83" spans="1:20" ht="12.75">
      <c r="A83" s="89"/>
      <c r="B83" s="90"/>
      <c r="C83" s="90"/>
      <c r="D83" s="90" t="s">
        <v>189</v>
      </c>
      <c r="E83" s="90"/>
      <c r="F83" s="91" t="s">
        <v>190</v>
      </c>
      <c r="G83" s="52">
        <v>500</v>
      </c>
      <c r="H83" s="52">
        <v>500</v>
      </c>
      <c r="I83" s="52">
        <v>500</v>
      </c>
      <c r="J83" s="38"/>
      <c r="K83" s="52"/>
      <c r="S83" s="20" t="str">
        <f t="shared" si="4"/>
        <v>0884.??</v>
      </c>
      <c r="T83" t="str">
        <f t="shared" si="5"/>
        <v>0884</v>
      </c>
    </row>
    <row r="84" spans="1:20" ht="12.75">
      <c r="A84" s="89"/>
      <c r="B84" s="90"/>
      <c r="C84" s="90"/>
      <c r="D84" s="90" t="s">
        <v>191</v>
      </c>
      <c r="E84" s="90"/>
      <c r="F84" s="91" t="s">
        <v>192</v>
      </c>
      <c r="G84" s="52">
        <v>20000</v>
      </c>
      <c r="H84" s="52">
        <v>30000</v>
      </c>
      <c r="I84" s="52">
        <v>30000</v>
      </c>
      <c r="J84" s="38"/>
      <c r="K84" s="34">
        <v>23211.17</v>
      </c>
      <c r="S84" s="20" t="str">
        <f t="shared" si="4"/>
        <v>0887.??</v>
      </c>
      <c r="T84" t="str">
        <f t="shared" si="5"/>
        <v>0887</v>
      </c>
    </row>
    <row r="85" spans="1:20" ht="12.75">
      <c r="A85" s="89"/>
      <c r="B85" s="90"/>
      <c r="C85" s="90"/>
      <c r="D85" s="90" t="s">
        <v>193</v>
      </c>
      <c r="E85" s="90"/>
      <c r="F85" s="91" t="s">
        <v>194</v>
      </c>
      <c r="G85" s="52">
        <v>0</v>
      </c>
      <c r="H85" s="52">
        <v>3000</v>
      </c>
      <c r="I85" s="52">
        <v>3000</v>
      </c>
      <c r="J85" s="38"/>
      <c r="K85" s="52"/>
      <c r="S85" s="20" t="str">
        <f t="shared" si="4"/>
        <v>0888.??</v>
      </c>
      <c r="T85" t="str">
        <f t="shared" si="5"/>
        <v>0888</v>
      </c>
    </row>
    <row r="86" spans="1:20" ht="12.75">
      <c r="A86" s="89"/>
      <c r="B86" s="90"/>
      <c r="C86" s="90"/>
      <c r="D86" s="90" t="s">
        <v>195</v>
      </c>
      <c r="E86" s="90"/>
      <c r="F86" s="91" t="s">
        <v>196</v>
      </c>
      <c r="G86" s="52">
        <v>10000</v>
      </c>
      <c r="H86" s="52">
        <v>15000</v>
      </c>
      <c r="I86" s="52">
        <v>15000</v>
      </c>
      <c r="J86" s="38"/>
      <c r="K86" s="52">
        <v>130</v>
      </c>
      <c r="S86" s="20" t="str">
        <f t="shared" si="4"/>
        <v>0889.??</v>
      </c>
      <c r="T86" t="str">
        <f t="shared" si="5"/>
        <v>0889</v>
      </c>
    </row>
    <row r="87" spans="1:20" ht="12.75">
      <c r="A87" s="26"/>
      <c r="B87" s="27"/>
      <c r="C87" s="27" t="s">
        <v>197</v>
      </c>
      <c r="D87" s="27"/>
      <c r="E87" s="27"/>
      <c r="F87" s="29" t="s">
        <v>520</v>
      </c>
      <c r="G87" s="30">
        <f>SUMIF($T88:$T$243,$S87,G88:G$243)</f>
        <v>35000</v>
      </c>
      <c r="H87" s="30">
        <f>SUMIF($T88:$T$243,$S87,H88:H$243)</f>
        <v>45000</v>
      </c>
      <c r="I87" s="30">
        <f>SUMIF($T88:$T$243,$S87,I88:I$243)</f>
        <v>45000</v>
      </c>
      <c r="J87" s="30">
        <f>SUMIF($T88:$T$243,$S87,J88:J$243)</f>
        <v>0</v>
      </c>
      <c r="K87" s="30">
        <f>SUMIF($T88:$T$243,$S87,K88:K$243)</f>
        <v>31080.4</v>
      </c>
      <c r="S87" s="20" t="str">
        <f t="shared" si="4"/>
        <v>089?</v>
      </c>
      <c r="T87" t="str">
        <f t="shared" si="5"/>
        <v>089</v>
      </c>
    </row>
    <row r="88" spans="1:20" ht="12.75">
      <c r="A88" s="89"/>
      <c r="B88" s="90"/>
      <c r="C88" s="90"/>
      <c r="D88" s="90" t="s">
        <v>198</v>
      </c>
      <c r="E88" s="90"/>
      <c r="F88" s="91" t="s">
        <v>199</v>
      </c>
      <c r="G88" s="52">
        <v>0</v>
      </c>
      <c r="H88" s="52">
        <v>2000</v>
      </c>
      <c r="I88" s="52">
        <v>2000</v>
      </c>
      <c r="J88" s="38"/>
      <c r="K88" s="34">
        <v>0</v>
      </c>
      <c r="S88" s="20" t="str">
        <f t="shared" si="4"/>
        <v>0891.??</v>
      </c>
      <c r="T88" t="str">
        <f t="shared" si="5"/>
        <v>0891</v>
      </c>
    </row>
    <row r="89" spans="1:20" ht="12.75">
      <c r="A89" s="89"/>
      <c r="B89" s="90"/>
      <c r="C89" s="90"/>
      <c r="D89" s="90" t="s">
        <v>200</v>
      </c>
      <c r="E89" s="90"/>
      <c r="F89" s="91" t="s">
        <v>201</v>
      </c>
      <c r="G89" s="52">
        <v>15000</v>
      </c>
      <c r="H89" s="52">
        <v>15000</v>
      </c>
      <c r="I89" s="52">
        <v>15000</v>
      </c>
      <c r="J89" s="38"/>
      <c r="K89" s="52">
        <v>10702.55</v>
      </c>
      <c r="S89" s="20" t="str">
        <f t="shared" si="4"/>
        <v>0892.??</v>
      </c>
      <c r="T89" t="str">
        <f t="shared" si="5"/>
        <v>0892</v>
      </c>
    </row>
    <row r="90" spans="1:20" ht="12.75">
      <c r="A90" s="89"/>
      <c r="B90" s="90"/>
      <c r="C90" s="90"/>
      <c r="D90" s="90" t="s">
        <v>202</v>
      </c>
      <c r="E90" s="90"/>
      <c r="F90" s="91" t="s">
        <v>203</v>
      </c>
      <c r="G90" s="52">
        <v>0</v>
      </c>
      <c r="H90" s="52">
        <v>1000</v>
      </c>
      <c r="I90" s="52">
        <v>1000</v>
      </c>
      <c r="J90" s="38"/>
      <c r="K90" s="34">
        <v>154.83</v>
      </c>
      <c r="S90" s="20" t="str">
        <f t="shared" si="4"/>
        <v>0895.??</v>
      </c>
      <c r="T90" t="str">
        <f t="shared" si="5"/>
        <v>0895</v>
      </c>
    </row>
    <row r="91" spans="1:20" ht="12.75">
      <c r="A91" s="89"/>
      <c r="B91" s="90"/>
      <c r="C91" s="90"/>
      <c r="D91" s="90" t="s">
        <v>204</v>
      </c>
      <c r="E91" s="90"/>
      <c r="F91" s="91" t="s">
        <v>205</v>
      </c>
      <c r="G91" s="52">
        <v>0</v>
      </c>
      <c r="H91" s="52">
        <v>2000</v>
      </c>
      <c r="I91" s="52">
        <v>2000</v>
      </c>
      <c r="J91" s="38"/>
      <c r="K91" s="34">
        <v>0</v>
      </c>
      <c r="S91" s="20" t="str">
        <f t="shared" si="4"/>
        <v>0896.??</v>
      </c>
      <c r="T91" t="str">
        <f t="shared" si="5"/>
        <v>0896</v>
      </c>
    </row>
    <row r="92" spans="1:20" ht="12.75">
      <c r="A92" s="89"/>
      <c r="B92" s="90"/>
      <c r="C92" s="90"/>
      <c r="D92" s="90" t="s">
        <v>206</v>
      </c>
      <c r="E92" s="90"/>
      <c r="F92" s="91" t="s">
        <v>207</v>
      </c>
      <c r="G92" s="52">
        <v>20000</v>
      </c>
      <c r="H92" s="52">
        <v>25000</v>
      </c>
      <c r="I92" s="52">
        <v>25000</v>
      </c>
      <c r="J92" s="38"/>
      <c r="K92" s="34">
        <v>20223.02</v>
      </c>
      <c r="S92" s="20" t="str">
        <f t="shared" si="4"/>
        <v>0899.??</v>
      </c>
      <c r="T92" t="str">
        <f t="shared" si="5"/>
        <v>0899</v>
      </c>
    </row>
    <row r="93" spans="1:20" ht="12.75">
      <c r="A93" s="21"/>
      <c r="B93" s="22" t="s">
        <v>208</v>
      </c>
      <c r="C93" s="22"/>
      <c r="D93" s="22"/>
      <c r="E93" s="22"/>
      <c r="F93" s="24" t="s">
        <v>209</v>
      </c>
      <c r="G93" s="25">
        <f>SUMIF($T94:$T$243,$S93,G94:G$243)</f>
        <v>65000</v>
      </c>
      <c r="H93" s="25">
        <f>SUMIF($T94:$T$243,$S93,H94:H$243)</f>
        <v>82000</v>
      </c>
      <c r="I93" s="25">
        <f>SUMIF($T94:$T$243,$S93,I94:I$243)</f>
        <v>82000</v>
      </c>
      <c r="J93" s="25">
        <f>SUMIF($T94:$T$243,$S93,J94:J$243)</f>
        <v>0</v>
      </c>
      <c r="K93" s="25">
        <f>SUMIF($T94:$T$243,$S93,K94:K$243)</f>
        <v>120798.07</v>
      </c>
      <c r="S93" s="20" t="str">
        <f t="shared" si="4"/>
        <v>09?</v>
      </c>
      <c r="T93" t="str">
        <f t="shared" si="5"/>
        <v>09</v>
      </c>
    </row>
    <row r="94" spans="1:20" ht="12.75">
      <c r="A94" s="26"/>
      <c r="B94" s="27"/>
      <c r="C94" s="27" t="s">
        <v>210</v>
      </c>
      <c r="D94" s="27"/>
      <c r="E94" s="27"/>
      <c r="F94" s="29" t="s">
        <v>211</v>
      </c>
      <c r="G94" s="30">
        <f>SUMIF($T95:$T$243,$S94,G95:G$243)</f>
        <v>65000</v>
      </c>
      <c r="H94" s="30">
        <f>SUMIF($T95:$T$243,$S94,H95:H$243)</f>
        <v>75000</v>
      </c>
      <c r="I94" s="30">
        <f>SUMIF($T95:$T$243,$S94,I95:I$243)</f>
        <v>75000</v>
      </c>
      <c r="J94" s="30">
        <f>SUMIF($T95:$T$243,$S94,J95:J$243)</f>
        <v>0</v>
      </c>
      <c r="K94" s="30">
        <f>SUMIF($T95:$T$243,$S94,K95:K$243)</f>
        <v>120798.07</v>
      </c>
      <c r="S94" s="20" t="str">
        <f t="shared" si="4"/>
        <v>091?</v>
      </c>
      <c r="T94" t="str">
        <f t="shared" si="5"/>
        <v>091</v>
      </c>
    </row>
    <row r="95" spans="1:20" ht="12.75">
      <c r="A95" s="89"/>
      <c r="B95" s="90"/>
      <c r="C95" s="90"/>
      <c r="D95" s="90" t="s">
        <v>212</v>
      </c>
      <c r="E95" s="90"/>
      <c r="F95" s="91" t="s">
        <v>213</v>
      </c>
      <c r="G95" s="52">
        <v>65000</v>
      </c>
      <c r="H95" s="52">
        <v>65000</v>
      </c>
      <c r="I95" s="52">
        <v>65000</v>
      </c>
      <c r="J95" s="38"/>
      <c r="K95" s="34">
        <v>120798.07</v>
      </c>
      <c r="S95" s="20" t="str">
        <f t="shared" si="4"/>
        <v>0911.??</v>
      </c>
      <c r="T95" t="str">
        <f t="shared" si="5"/>
        <v>0911</v>
      </c>
    </row>
    <row r="96" spans="1:20" ht="12.75">
      <c r="A96" s="89"/>
      <c r="B96" s="90"/>
      <c r="C96" s="90"/>
      <c r="D96" s="90" t="s">
        <v>214</v>
      </c>
      <c r="E96" s="90"/>
      <c r="F96" s="91" t="s">
        <v>215</v>
      </c>
      <c r="G96" s="52"/>
      <c r="H96" s="52">
        <v>10000</v>
      </c>
      <c r="I96" s="52">
        <v>10000</v>
      </c>
      <c r="J96" s="38"/>
      <c r="K96" s="52"/>
      <c r="S96" s="20" t="str">
        <f t="shared" si="4"/>
        <v>0912.??</v>
      </c>
      <c r="T96" t="str">
        <f t="shared" si="5"/>
        <v>0912</v>
      </c>
    </row>
    <row r="97" spans="1:20" ht="12.75">
      <c r="A97" s="26"/>
      <c r="B97" s="27"/>
      <c r="C97" s="27" t="s">
        <v>216</v>
      </c>
      <c r="D97" s="27"/>
      <c r="E97" s="27"/>
      <c r="F97" s="29" t="s">
        <v>217</v>
      </c>
      <c r="G97" s="30">
        <f>SUMIF($T98:$T$243,$S97,G98:G$243)</f>
        <v>0</v>
      </c>
      <c r="H97" s="30">
        <f>SUMIF($T98:$T$243,$S97,H98:H$243)</f>
        <v>7000</v>
      </c>
      <c r="I97" s="30">
        <f>SUMIF($T98:$T$243,$S97,I98:I$243)</f>
        <v>7000</v>
      </c>
      <c r="J97" s="30">
        <f>SUMIF($T98:$T$243,$S97,J98:J$243)</f>
        <v>0</v>
      </c>
      <c r="K97" s="30">
        <f>SUMIF($T98:$T$243,$S97,K98:K$243)</f>
        <v>0</v>
      </c>
      <c r="S97" s="20" t="str">
        <f t="shared" si="4"/>
        <v>093?</v>
      </c>
      <c r="T97" t="str">
        <f t="shared" si="5"/>
        <v>093</v>
      </c>
    </row>
    <row r="98" spans="1:20" ht="12.75">
      <c r="A98" s="89"/>
      <c r="B98" s="90"/>
      <c r="C98" s="90"/>
      <c r="D98" s="90" t="s">
        <v>218</v>
      </c>
      <c r="E98" s="90"/>
      <c r="F98" s="91" t="s">
        <v>219</v>
      </c>
      <c r="G98" s="52"/>
      <c r="H98" s="52">
        <v>7000</v>
      </c>
      <c r="I98" s="52">
        <v>7000</v>
      </c>
      <c r="J98" s="38"/>
      <c r="K98" s="52">
        <v>0</v>
      </c>
      <c r="S98" s="20" t="str">
        <f t="shared" si="4"/>
        <v>0932.??</v>
      </c>
      <c r="T98" t="str">
        <f t="shared" si="5"/>
        <v>0932</v>
      </c>
    </row>
    <row r="99" spans="1:20" ht="12.75">
      <c r="A99" s="14">
        <v>1</v>
      </c>
      <c r="B99" s="15"/>
      <c r="C99" s="15"/>
      <c r="D99" s="15"/>
      <c r="E99" s="15"/>
      <c r="F99" s="50" t="s">
        <v>220</v>
      </c>
      <c r="G99" s="51">
        <f>SUMIF($T100:$T$243,$S99,G100:G$243)</f>
        <v>1888400</v>
      </c>
      <c r="H99" s="51">
        <f>SUMIF($T100:$T$243,$S99,H100:H$243)</f>
        <v>2078000</v>
      </c>
      <c r="I99" s="51">
        <f>SUMIF($T100:$T$243,$S99,I100:I$243)</f>
        <v>2078000</v>
      </c>
      <c r="J99" s="51">
        <f>SUMIF($T100:$T$243,$S99,J100:J$243)</f>
        <v>0</v>
      </c>
      <c r="K99" s="51">
        <f>SUMIF($T100:$T$243,$S99,K100:K$243)</f>
        <v>1350330.0999999999</v>
      </c>
      <c r="S99" s="20" t="str">
        <f t="shared" si="4"/>
        <v>1?</v>
      </c>
      <c r="T99" t="str">
        <f t="shared" si="5"/>
        <v>1</v>
      </c>
    </row>
    <row r="100" spans="1:20" ht="12.75">
      <c r="A100" s="21"/>
      <c r="B100" s="22" t="s">
        <v>221</v>
      </c>
      <c r="C100" s="22"/>
      <c r="D100" s="22"/>
      <c r="E100" s="22"/>
      <c r="F100" s="24" t="s">
        <v>222</v>
      </c>
      <c r="G100" s="25">
        <f>SUMIF($T101:$T$243,$S100,G101:G$243)</f>
        <v>18400</v>
      </c>
      <c r="H100" s="25">
        <f>SUMIF($T101:$T$243,$S100,H101:H$243)</f>
        <v>26000</v>
      </c>
      <c r="I100" s="25">
        <f>SUMIF($T101:$T$243,$S100,I101:I$243)</f>
        <v>26000</v>
      </c>
      <c r="J100" s="25">
        <f>SUMIF($T101:$T$243,$S100,J101:J$243)</f>
        <v>0</v>
      </c>
      <c r="K100" s="25">
        <f>SUMIF($T101:$T$243,$S100,K101:K$243)</f>
        <v>2165.19</v>
      </c>
      <c r="S100" s="20" t="str">
        <f t="shared" si="4"/>
        <v>11?</v>
      </c>
      <c r="T100" t="str">
        <f t="shared" si="5"/>
        <v>11</v>
      </c>
    </row>
    <row r="101" spans="1:20" ht="12.75">
      <c r="A101" s="26"/>
      <c r="B101" s="27"/>
      <c r="C101" s="27" t="s">
        <v>223</v>
      </c>
      <c r="D101" s="27"/>
      <c r="E101" s="27"/>
      <c r="F101" s="29" t="s">
        <v>224</v>
      </c>
      <c r="G101" s="30">
        <f aca="true" t="shared" si="6" ref="G101:K102">SUM(G102)</f>
        <v>16000</v>
      </c>
      <c r="H101" s="30">
        <f t="shared" si="6"/>
        <v>16000</v>
      </c>
      <c r="I101" s="30">
        <f t="shared" si="6"/>
        <v>16000</v>
      </c>
      <c r="J101" s="30">
        <f t="shared" si="6"/>
        <v>0</v>
      </c>
      <c r="K101" s="30">
        <f t="shared" si="6"/>
        <v>2165.19</v>
      </c>
      <c r="S101" s="20" t="str">
        <f t="shared" si="4"/>
        <v>112?</v>
      </c>
      <c r="T101" t="str">
        <f t="shared" si="5"/>
        <v>112</v>
      </c>
    </row>
    <row r="102" spans="1:20" ht="12.75">
      <c r="A102" s="42"/>
      <c r="B102" s="43"/>
      <c r="C102" s="43"/>
      <c r="D102" s="43" t="s">
        <v>225</v>
      </c>
      <c r="E102" s="43"/>
      <c r="F102" s="44" t="s">
        <v>226</v>
      </c>
      <c r="G102" s="45">
        <f t="shared" si="6"/>
        <v>16000</v>
      </c>
      <c r="H102" s="45">
        <f t="shared" si="6"/>
        <v>16000</v>
      </c>
      <c r="I102" s="45">
        <f t="shared" si="6"/>
        <v>16000</v>
      </c>
      <c r="J102" s="45">
        <f t="shared" si="6"/>
        <v>0</v>
      </c>
      <c r="K102" s="45">
        <f t="shared" si="6"/>
        <v>2165.19</v>
      </c>
      <c r="S102" s="20" t="str">
        <f t="shared" si="4"/>
        <v>1129.??</v>
      </c>
      <c r="T102" t="str">
        <f t="shared" si="5"/>
        <v>1129</v>
      </c>
    </row>
    <row r="103" spans="1:20" ht="12.75">
      <c r="A103" s="39"/>
      <c r="B103" s="40"/>
      <c r="C103" s="40"/>
      <c r="E103" s="40" t="s">
        <v>225</v>
      </c>
      <c r="F103" s="41" t="s">
        <v>226</v>
      </c>
      <c r="G103" s="34">
        <v>16000</v>
      </c>
      <c r="H103" s="34">
        <v>16000</v>
      </c>
      <c r="I103" s="34">
        <v>16000</v>
      </c>
      <c r="J103" s="46"/>
      <c r="K103" s="34">
        <v>2165.19</v>
      </c>
      <c r="S103" s="20" t="str">
        <f t="shared" si="4"/>
        <v>1129.??</v>
      </c>
      <c r="T103" t="str">
        <f t="shared" si="5"/>
        <v>1129</v>
      </c>
    </row>
    <row r="104" spans="1:20" ht="12.75">
      <c r="A104" s="26"/>
      <c r="B104" s="27"/>
      <c r="C104" s="27" t="s">
        <v>227</v>
      </c>
      <c r="D104" s="27"/>
      <c r="E104" s="27"/>
      <c r="F104" s="29" t="s">
        <v>228</v>
      </c>
      <c r="G104" s="30">
        <f aca="true" t="shared" si="7" ref="G104:K105">SUM(G105)</f>
        <v>2400</v>
      </c>
      <c r="H104" s="30">
        <f t="shared" si="7"/>
        <v>10000</v>
      </c>
      <c r="I104" s="30">
        <f t="shared" si="7"/>
        <v>10000</v>
      </c>
      <c r="J104" s="30">
        <f t="shared" si="7"/>
        <v>0</v>
      </c>
      <c r="K104" s="30">
        <f t="shared" si="7"/>
        <v>0</v>
      </c>
      <c r="S104" s="20" t="str">
        <f aca="true" t="shared" si="8" ref="S104:S136">IF(LEN(T104)&gt;=6,"",IF(LEN(T104)=0,"",IF(LEN(T104)=4,CONCATENATE(T104,".??"),CONCATENATE(T104,"?"))))</f>
        <v>113?</v>
      </c>
      <c r="T104" t="str">
        <f t="shared" si="5"/>
        <v>113</v>
      </c>
    </row>
    <row r="105" spans="1:20" ht="12.75">
      <c r="A105" s="42"/>
      <c r="B105" s="43"/>
      <c r="C105" s="43"/>
      <c r="D105" s="43" t="s">
        <v>229</v>
      </c>
      <c r="E105" s="43"/>
      <c r="F105" s="44" t="s">
        <v>230</v>
      </c>
      <c r="G105" s="45">
        <f t="shared" si="7"/>
        <v>2400</v>
      </c>
      <c r="H105" s="45">
        <f t="shared" si="7"/>
        <v>10000</v>
      </c>
      <c r="I105" s="45">
        <f t="shared" si="7"/>
        <v>10000</v>
      </c>
      <c r="J105" s="45">
        <f t="shared" si="7"/>
        <v>0</v>
      </c>
      <c r="K105" s="45">
        <f t="shared" si="7"/>
        <v>0</v>
      </c>
      <c r="S105" s="20" t="str">
        <f t="shared" si="8"/>
        <v>1139.??</v>
      </c>
      <c r="T105" t="str">
        <f t="shared" si="5"/>
        <v>1139</v>
      </c>
    </row>
    <row r="106" spans="1:20" ht="12.75">
      <c r="A106" s="39"/>
      <c r="B106" s="40"/>
      <c r="C106" s="40"/>
      <c r="E106" s="40" t="s">
        <v>229</v>
      </c>
      <c r="F106" s="41" t="s">
        <v>230</v>
      </c>
      <c r="G106" s="34">
        <v>2400</v>
      </c>
      <c r="H106" s="34">
        <v>10000</v>
      </c>
      <c r="I106" s="34">
        <v>10000</v>
      </c>
      <c r="J106" s="46"/>
      <c r="K106" s="34">
        <v>0</v>
      </c>
      <c r="S106" s="20" t="str">
        <f t="shared" si="8"/>
        <v>1139.??</v>
      </c>
      <c r="T106" t="str">
        <f t="shared" si="5"/>
        <v>1139</v>
      </c>
    </row>
    <row r="107" spans="1:20" ht="12.75">
      <c r="A107" s="21"/>
      <c r="B107" s="22" t="s">
        <v>231</v>
      </c>
      <c r="C107" s="22"/>
      <c r="D107" s="22"/>
      <c r="E107" s="22"/>
      <c r="F107" s="24" t="s">
        <v>232</v>
      </c>
      <c r="G107" s="25">
        <f>SUMIF($T108:$T$243,$S107,G108:G$243)</f>
        <v>27000</v>
      </c>
      <c r="H107" s="25">
        <f>SUMIF($T108:$T$243,$S107,H108:H$243)</f>
        <v>29000</v>
      </c>
      <c r="I107" s="25">
        <f>SUMIF($T108:$T$243,$S107,I108:I$243)</f>
        <v>29000</v>
      </c>
      <c r="J107" s="25">
        <f>SUMIF($T108:$T$243,$S107,J108:J$243)</f>
        <v>0</v>
      </c>
      <c r="K107" s="25">
        <f>SUMIF($T108:$T$243,$S107,K108:K$243)</f>
        <v>14620.5</v>
      </c>
      <c r="S107" s="20" t="str">
        <f t="shared" si="8"/>
        <v>12?</v>
      </c>
      <c r="T107" t="str">
        <f aca="true" t="shared" si="9" ref="T107:T136">CONCATENATE(A107,B107,C107,D107,E107,)</f>
        <v>12</v>
      </c>
    </row>
    <row r="108" spans="1:20" ht="12.75">
      <c r="A108" s="26"/>
      <c r="B108" s="27"/>
      <c r="C108" s="27" t="s">
        <v>233</v>
      </c>
      <c r="D108" s="27"/>
      <c r="E108" s="27"/>
      <c r="F108" s="29" t="s">
        <v>234</v>
      </c>
      <c r="G108" s="30">
        <f>SUMIF($T109:$T$243,$S108,G109:G$243)</f>
        <v>0</v>
      </c>
      <c r="H108" s="30">
        <f aca="true" t="shared" si="10" ref="H108:K109">SUM(H109)</f>
        <v>1000</v>
      </c>
      <c r="I108" s="30">
        <f t="shared" si="10"/>
        <v>1000</v>
      </c>
      <c r="J108" s="30">
        <f t="shared" si="10"/>
        <v>0</v>
      </c>
      <c r="K108" s="30">
        <f t="shared" si="10"/>
        <v>0</v>
      </c>
      <c r="S108" s="20" t="str">
        <f t="shared" si="8"/>
        <v>124?</v>
      </c>
      <c r="T108" t="str">
        <f t="shared" si="9"/>
        <v>124</v>
      </c>
    </row>
    <row r="109" spans="1:20" ht="12.75">
      <c r="A109" s="42"/>
      <c r="B109" s="43"/>
      <c r="C109" s="43"/>
      <c r="D109" s="43" t="s">
        <v>235</v>
      </c>
      <c r="E109" s="43"/>
      <c r="F109" s="44" t="s">
        <v>531</v>
      </c>
      <c r="G109" s="45">
        <f>SUMIF($T110:$T$243,$S109,G110:G$243)</f>
        <v>0</v>
      </c>
      <c r="H109" s="45">
        <f t="shared" si="10"/>
        <v>1000</v>
      </c>
      <c r="I109" s="45">
        <f t="shared" si="10"/>
        <v>1000</v>
      </c>
      <c r="J109" s="45">
        <f t="shared" si="10"/>
        <v>0</v>
      </c>
      <c r="K109" s="45">
        <f t="shared" si="10"/>
        <v>0</v>
      </c>
      <c r="S109" s="20" t="str">
        <f t="shared" si="8"/>
        <v>1249.??</v>
      </c>
      <c r="T109" t="str">
        <f t="shared" si="9"/>
        <v>1249</v>
      </c>
    </row>
    <row r="110" spans="1:20" ht="12.75">
      <c r="A110" s="39"/>
      <c r="B110" s="40"/>
      <c r="C110" s="40"/>
      <c r="E110" s="40" t="s">
        <v>235</v>
      </c>
      <c r="F110" s="41" t="s">
        <v>531</v>
      </c>
      <c r="G110" s="34">
        <v>0</v>
      </c>
      <c r="H110" s="34">
        <v>1000</v>
      </c>
      <c r="I110" s="34">
        <v>1000</v>
      </c>
      <c r="J110" s="46"/>
      <c r="K110" s="34">
        <v>0</v>
      </c>
      <c r="S110" s="20" t="str">
        <f t="shared" si="8"/>
        <v>1249.??</v>
      </c>
      <c r="T110" t="str">
        <f t="shared" si="9"/>
        <v>1249</v>
      </c>
    </row>
    <row r="111" spans="1:20" ht="12.75">
      <c r="A111" s="26"/>
      <c r="B111" s="27"/>
      <c r="C111" s="27" t="s">
        <v>532</v>
      </c>
      <c r="D111" s="27"/>
      <c r="E111" s="27"/>
      <c r="F111" s="29" t="s">
        <v>533</v>
      </c>
      <c r="G111" s="30">
        <f>SUMIF($T112:$T$243,$S111,G112:G$243)</f>
        <v>0</v>
      </c>
      <c r="H111" s="30">
        <f>SUM(H112)</f>
        <v>500</v>
      </c>
      <c r="I111" s="30">
        <f>SUM(I112)</f>
        <v>500</v>
      </c>
      <c r="J111" s="30">
        <f>SUM(J112)</f>
        <v>0</v>
      </c>
      <c r="K111" s="30">
        <f>SUM(K112)</f>
        <v>0</v>
      </c>
      <c r="S111" s="20" t="str">
        <f t="shared" si="8"/>
        <v>125?</v>
      </c>
      <c r="T111" t="str">
        <f t="shared" si="9"/>
        <v>125</v>
      </c>
    </row>
    <row r="112" spans="1:20" ht="12.75">
      <c r="A112" s="42"/>
      <c r="B112" s="43"/>
      <c r="C112" s="43"/>
      <c r="D112" s="43" t="s">
        <v>534</v>
      </c>
      <c r="E112" s="43"/>
      <c r="F112" s="44" t="s">
        <v>535</v>
      </c>
      <c r="G112" s="45">
        <f>SUMIF($T113:$T$243,$S112,G113:G$243)</f>
        <v>0</v>
      </c>
      <c r="H112" s="45">
        <f>SUM(H113)</f>
        <v>500</v>
      </c>
      <c r="I112" s="45">
        <f>SUM(I113)</f>
        <v>500</v>
      </c>
      <c r="J112" s="45">
        <f>SUMIF($T113:$T$243,$S112,J113:J$243)</f>
        <v>0</v>
      </c>
      <c r="K112" s="45">
        <f>SUMIF($T113:$T$243,$S112,K113:K$243)</f>
        <v>0</v>
      </c>
      <c r="S112" s="20" t="str">
        <f t="shared" si="8"/>
        <v>1259.??</v>
      </c>
      <c r="T112" t="str">
        <f t="shared" si="9"/>
        <v>1259</v>
      </c>
    </row>
    <row r="113" spans="1:20" ht="12.75">
      <c r="A113" s="39"/>
      <c r="B113" s="40"/>
      <c r="C113" s="40"/>
      <c r="E113" s="40" t="s">
        <v>534</v>
      </c>
      <c r="F113" s="41" t="s">
        <v>535</v>
      </c>
      <c r="G113" s="34">
        <v>0</v>
      </c>
      <c r="H113" s="34">
        <v>500</v>
      </c>
      <c r="I113" s="34">
        <v>500</v>
      </c>
      <c r="J113" s="46"/>
      <c r="K113" s="34"/>
      <c r="S113" s="20" t="str">
        <f t="shared" si="8"/>
        <v>1259.??</v>
      </c>
      <c r="T113" t="str">
        <f t="shared" si="9"/>
        <v>1259</v>
      </c>
    </row>
    <row r="114" spans="1:20" ht="12.75">
      <c r="A114" s="26"/>
      <c r="B114" s="27"/>
      <c r="C114" s="27" t="s">
        <v>536</v>
      </c>
      <c r="D114" s="27"/>
      <c r="E114" s="27"/>
      <c r="F114" s="29" t="s">
        <v>537</v>
      </c>
      <c r="G114" s="30">
        <f aca="true" t="shared" si="11" ref="G114:K115">SUM(G115)</f>
        <v>20500</v>
      </c>
      <c r="H114" s="30">
        <f t="shared" si="11"/>
        <v>16500</v>
      </c>
      <c r="I114" s="30">
        <f t="shared" si="11"/>
        <v>16500</v>
      </c>
      <c r="J114" s="30">
        <f t="shared" si="11"/>
        <v>0</v>
      </c>
      <c r="K114" s="30">
        <f t="shared" si="11"/>
        <v>12069.41</v>
      </c>
      <c r="S114" s="20" t="str">
        <f t="shared" si="8"/>
        <v>126?</v>
      </c>
      <c r="T114" t="str">
        <f t="shared" si="9"/>
        <v>126</v>
      </c>
    </row>
    <row r="115" spans="1:20" ht="12.75">
      <c r="A115" s="42"/>
      <c r="B115" s="43"/>
      <c r="C115" s="44"/>
      <c r="D115" s="43" t="s">
        <v>538</v>
      </c>
      <c r="E115" s="43"/>
      <c r="F115" s="44" t="s">
        <v>539</v>
      </c>
      <c r="G115" s="45">
        <f t="shared" si="11"/>
        <v>20500</v>
      </c>
      <c r="H115" s="45">
        <f t="shared" si="11"/>
        <v>16500</v>
      </c>
      <c r="I115" s="45">
        <f t="shared" si="11"/>
        <v>16500</v>
      </c>
      <c r="J115" s="45">
        <f t="shared" si="11"/>
        <v>0</v>
      </c>
      <c r="K115" s="45">
        <f t="shared" si="11"/>
        <v>12069.41</v>
      </c>
      <c r="S115" s="20" t="str">
        <f t="shared" si="8"/>
        <v>1261.??</v>
      </c>
      <c r="T115" t="str">
        <f t="shared" si="9"/>
        <v>1261</v>
      </c>
    </row>
    <row r="116" spans="1:20" ht="12.75">
      <c r="A116" s="39"/>
      <c r="B116" s="40"/>
      <c r="C116" s="41"/>
      <c r="E116" s="40" t="s">
        <v>538</v>
      </c>
      <c r="F116" s="41" t="s">
        <v>539</v>
      </c>
      <c r="G116" s="34">
        <v>20500</v>
      </c>
      <c r="H116" s="34">
        <v>16500</v>
      </c>
      <c r="I116" s="34">
        <v>16500</v>
      </c>
      <c r="J116" s="46"/>
      <c r="K116" s="34">
        <v>12069.41</v>
      </c>
      <c r="S116" s="20" t="str">
        <f t="shared" si="8"/>
        <v>1261.??</v>
      </c>
      <c r="T116" t="str">
        <f t="shared" si="9"/>
        <v>1261</v>
      </c>
    </row>
    <row r="117" spans="1:20" ht="12.75">
      <c r="A117" s="26"/>
      <c r="B117" s="27"/>
      <c r="C117" s="27" t="s">
        <v>540</v>
      </c>
      <c r="D117" s="27"/>
      <c r="E117" s="27"/>
      <c r="F117" s="29" t="s">
        <v>541</v>
      </c>
      <c r="G117" s="30">
        <f aca="true" t="shared" si="12" ref="G117:K118">SUM(G118)</f>
        <v>3500</v>
      </c>
      <c r="H117" s="30">
        <f t="shared" si="12"/>
        <v>1500</v>
      </c>
      <c r="I117" s="30">
        <f t="shared" si="12"/>
        <v>1500</v>
      </c>
      <c r="J117" s="30">
        <f t="shared" si="12"/>
        <v>0</v>
      </c>
      <c r="K117" s="30">
        <f t="shared" si="12"/>
        <v>0</v>
      </c>
      <c r="S117" s="20" t="str">
        <f t="shared" si="8"/>
        <v>128?</v>
      </c>
      <c r="T117" t="str">
        <f t="shared" si="9"/>
        <v>128</v>
      </c>
    </row>
    <row r="118" spans="1:20" ht="12.75">
      <c r="A118" s="42"/>
      <c r="B118" s="43"/>
      <c r="C118" s="43"/>
      <c r="D118" s="43" t="s">
        <v>542</v>
      </c>
      <c r="E118" s="43"/>
      <c r="F118" s="44" t="s">
        <v>543</v>
      </c>
      <c r="G118" s="45">
        <f t="shared" si="12"/>
        <v>3500</v>
      </c>
      <c r="H118" s="45">
        <f t="shared" si="12"/>
        <v>1500</v>
      </c>
      <c r="I118" s="45">
        <f t="shared" si="12"/>
        <v>1500</v>
      </c>
      <c r="J118" s="45">
        <f t="shared" si="12"/>
        <v>0</v>
      </c>
      <c r="K118" s="45">
        <f t="shared" si="12"/>
        <v>0</v>
      </c>
      <c r="S118" s="20" t="str">
        <f t="shared" si="8"/>
        <v>1281.??</v>
      </c>
      <c r="T118" t="str">
        <f t="shared" si="9"/>
        <v>1281</v>
      </c>
    </row>
    <row r="119" spans="1:20" ht="12.75">
      <c r="A119" s="39"/>
      <c r="B119" s="40"/>
      <c r="C119" s="40"/>
      <c r="E119" s="40" t="s">
        <v>542</v>
      </c>
      <c r="F119" s="41" t="s">
        <v>543</v>
      </c>
      <c r="G119" s="34">
        <v>3500</v>
      </c>
      <c r="H119" s="34">
        <v>1500</v>
      </c>
      <c r="I119" s="34">
        <v>1500</v>
      </c>
      <c r="J119" s="46"/>
      <c r="K119" s="34"/>
      <c r="S119" s="20" t="str">
        <f t="shared" si="8"/>
        <v>1281.??</v>
      </c>
      <c r="T119" t="str">
        <f t="shared" si="9"/>
        <v>1281</v>
      </c>
    </row>
    <row r="120" spans="1:20" ht="12.75">
      <c r="A120" s="26"/>
      <c r="B120" s="27"/>
      <c r="C120" s="27" t="s">
        <v>544</v>
      </c>
      <c r="D120" s="27"/>
      <c r="E120" s="27"/>
      <c r="F120" s="29" t="s">
        <v>545</v>
      </c>
      <c r="G120" s="30">
        <f>SUM(G121+G123+G125+G127)</f>
        <v>3000</v>
      </c>
      <c r="H120" s="30">
        <f>SUM(H121+H123+H125+H127)</f>
        <v>9500</v>
      </c>
      <c r="I120" s="30">
        <f>SUM(I121+I123+I125+I127)</f>
        <v>9500</v>
      </c>
      <c r="J120" s="30">
        <f>SUM(J121+J123+J125+J127)</f>
        <v>0</v>
      </c>
      <c r="K120" s="30">
        <f>SUM(K121+K123+K125+K127)</f>
        <v>2551.0899999999997</v>
      </c>
      <c r="S120" s="20" t="str">
        <f t="shared" si="8"/>
        <v>129?</v>
      </c>
      <c r="T120" t="str">
        <f t="shared" si="9"/>
        <v>129</v>
      </c>
    </row>
    <row r="121" spans="1:20" ht="12.75">
      <c r="A121" s="42"/>
      <c r="B121" s="43"/>
      <c r="C121" s="43"/>
      <c r="D121" s="43" t="s">
        <v>546</v>
      </c>
      <c r="E121" s="43"/>
      <c r="F121" s="44" t="s">
        <v>547</v>
      </c>
      <c r="G121" s="45">
        <f>SUM(G122)</f>
        <v>3000</v>
      </c>
      <c r="H121" s="45">
        <f>SUM(H122)</f>
        <v>5500</v>
      </c>
      <c r="I121" s="45">
        <f>SUM(I122)</f>
        <v>5500</v>
      </c>
      <c r="J121" s="45">
        <f>SUM(J122)</f>
        <v>0</v>
      </c>
      <c r="K121" s="45">
        <f>SUM(K122)</f>
        <v>765.61</v>
      </c>
      <c r="S121" s="20" t="str">
        <f t="shared" si="8"/>
        <v>1292.??</v>
      </c>
      <c r="T121" t="str">
        <f t="shared" si="9"/>
        <v>1292</v>
      </c>
    </row>
    <row r="122" spans="1:20" ht="12.75">
      <c r="A122" s="39"/>
      <c r="B122" s="40"/>
      <c r="C122" s="40"/>
      <c r="E122" s="40" t="s">
        <v>546</v>
      </c>
      <c r="F122" s="41" t="s">
        <v>547</v>
      </c>
      <c r="G122" s="34">
        <v>3000</v>
      </c>
      <c r="H122" s="34">
        <v>5500</v>
      </c>
      <c r="I122" s="34">
        <v>5500</v>
      </c>
      <c r="J122" s="46"/>
      <c r="K122" s="34">
        <v>765.61</v>
      </c>
      <c r="S122" s="20" t="str">
        <f t="shared" si="8"/>
        <v>1292.??</v>
      </c>
      <c r="T122" t="str">
        <f t="shared" si="9"/>
        <v>1292</v>
      </c>
    </row>
    <row r="123" spans="1:20" ht="12.75">
      <c r="A123" s="42"/>
      <c r="B123" s="43"/>
      <c r="C123" s="43"/>
      <c r="D123" s="43" t="s">
        <v>548</v>
      </c>
      <c r="E123" s="43"/>
      <c r="F123" s="44" t="s">
        <v>549</v>
      </c>
      <c r="G123" s="45">
        <f>SUMIF($T124:$T$243,$S123,G124:G$243)</f>
        <v>0</v>
      </c>
      <c r="H123" s="45">
        <f>SUM(H124)</f>
        <v>2000</v>
      </c>
      <c r="I123" s="45">
        <f>SUM(I124)</f>
        <v>2000</v>
      </c>
      <c r="J123" s="45">
        <f>SUMIF($T124:$T$243,$S123,J124:J$243)</f>
        <v>0</v>
      </c>
      <c r="K123" s="45">
        <f>SUM(K124)</f>
        <v>1704.78</v>
      </c>
      <c r="S123" s="20" t="str">
        <f t="shared" si="8"/>
        <v>1293.??</v>
      </c>
      <c r="T123" t="str">
        <f t="shared" si="9"/>
        <v>1293</v>
      </c>
    </row>
    <row r="124" spans="1:20" ht="12.75">
      <c r="A124" s="39"/>
      <c r="B124" s="40"/>
      <c r="C124" s="40"/>
      <c r="E124" s="40" t="s">
        <v>548</v>
      </c>
      <c r="F124" s="41" t="s">
        <v>549</v>
      </c>
      <c r="G124" s="34">
        <v>0</v>
      </c>
      <c r="H124" s="34">
        <v>2000</v>
      </c>
      <c r="I124" s="34">
        <v>2000</v>
      </c>
      <c r="J124" s="46"/>
      <c r="K124" s="34">
        <v>1704.78</v>
      </c>
      <c r="S124" s="20" t="str">
        <f t="shared" si="8"/>
        <v>1293.??</v>
      </c>
      <c r="T124" t="str">
        <f t="shared" si="9"/>
        <v>1293</v>
      </c>
    </row>
    <row r="125" spans="1:20" ht="12.75">
      <c r="A125" s="42"/>
      <c r="B125" s="43"/>
      <c r="C125" s="43"/>
      <c r="D125" s="43" t="s">
        <v>550</v>
      </c>
      <c r="E125" s="43"/>
      <c r="F125" s="44" t="s">
        <v>551</v>
      </c>
      <c r="G125" s="45">
        <f>SUMIF($T126:$T$243,$S125,G126:G$243)</f>
        <v>0</v>
      </c>
      <c r="H125" s="45">
        <f>SUM(H126)</f>
        <v>1500</v>
      </c>
      <c r="I125" s="45">
        <f>SUM(I126)</f>
        <v>1500</v>
      </c>
      <c r="J125" s="45">
        <f>SUMIF($T126:$T$243,$S125,J126:J$243)</f>
        <v>0</v>
      </c>
      <c r="K125" s="45">
        <f>SUM(K126)</f>
        <v>0</v>
      </c>
      <c r="S125" s="20" t="str">
        <f t="shared" si="8"/>
        <v>1294.??</v>
      </c>
      <c r="T125" t="str">
        <f t="shared" si="9"/>
        <v>1294</v>
      </c>
    </row>
    <row r="126" spans="1:20" ht="12.75">
      <c r="A126" s="39"/>
      <c r="B126" s="40"/>
      <c r="C126" s="40"/>
      <c r="E126" s="40" t="s">
        <v>550</v>
      </c>
      <c r="F126" s="41" t="s">
        <v>551</v>
      </c>
      <c r="G126" s="34">
        <v>0</v>
      </c>
      <c r="H126" s="34">
        <v>1500</v>
      </c>
      <c r="I126" s="34">
        <v>1500</v>
      </c>
      <c r="J126" s="46"/>
      <c r="K126" s="34"/>
      <c r="S126" s="20" t="str">
        <f t="shared" si="8"/>
        <v>1294.??</v>
      </c>
      <c r="T126" t="str">
        <f t="shared" si="9"/>
        <v>1294</v>
      </c>
    </row>
    <row r="127" spans="1:20" ht="12.75">
      <c r="A127" s="42"/>
      <c r="B127" s="43"/>
      <c r="C127" s="43"/>
      <c r="D127" s="43" t="s">
        <v>552</v>
      </c>
      <c r="E127" s="43"/>
      <c r="F127" s="44" t="s">
        <v>553</v>
      </c>
      <c r="G127" s="45">
        <f>SUMIF($T128:$T$243,$S127,G128:G$243)</f>
        <v>0</v>
      </c>
      <c r="H127" s="45">
        <f>SUM(H128)</f>
        <v>500</v>
      </c>
      <c r="I127" s="45">
        <f>SUM(I128)</f>
        <v>500</v>
      </c>
      <c r="J127" s="45">
        <f>SUMIF($T128:$T$243,$S127,J128:J$243)</f>
        <v>0</v>
      </c>
      <c r="K127" s="45">
        <f>SUM(K128)</f>
        <v>80.7</v>
      </c>
      <c r="S127" s="20" t="str">
        <f t="shared" si="8"/>
        <v>1299.??</v>
      </c>
      <c r="T127" t="str">
        <f t="shared" si="9"/>
        <v>1299</v>
      </c>
    </row>
    <row r="128" spans="1:20" ht="12.75">
      <c r="A128" s="39"/>
      <c r="B128" s="40"/>
      <c r="C128" s="40"/>
      <c r="E128" s="40" t="s">
        <v>552</v>
      </c>
      <c r="F128" s="41" t="s">
        <v>553</v>
      </c>
      <c r="G128" s="34">
        <v>0</v>
      </c>
      <c r="H128" s="34">
        <v>500</v>
      </c>
      <c r="I128" s="34">
        <v>500</v>
      </c>
      <c r="J128" s="46"/>
      <c r="K128" s="34">
        <v>80.7</v>
      </c>
      <c r="S128" s="20" t="str">
        <f t="shared" si="8"/>
        <v>1299.??</v>
      </c>
      <c r="T128" t="str">
        <f t="shared" si="9"/>
        <v>1299</v>
      </c>
    </row>
    <row r="129" spans="1:20" ht="12.75">
      <c r="A129" s="21"/>
      <c r="B129" s="22" t="s">
        <v>554</v>
      </c>
      <c r="C129" s="22"/>
      <c r="D129" s="22"/>
      <c r="E129" s="22"/>
      <c r="F129" s="24" t="s">
        <v>555</v>
      </c>
      <c r="G129" s="25">
        <f>SUMIF($T130:$T$243,$S129,G130:G$243)</f>
        <v>631000</v>
      </c>
      <c r="H129" s="25">
        <f>SUMIF($T130:$T$243,$S129,H130:H$243)</f>
        <v>819500</v>
      </c>
      <c r="I129" s="25">
        <f>SUMIF($T130:$T$243,$S129,I130:I$243)</f>
        <v>819500</v>
      </c>
      <c r="J129" s="25">
        <f>SUMIF($T130:$T$243,$S129,J130:J$243)</f>
        <v>0</v>
      </c>
      <c r="K129" s="25">
        <f>SUMIF($T130:$T$243,$S129,K130:K$243)</f>
        <v>367391.93</v>
      </c>
      <c r="S129" s="20" t="str">
        <f t="shared" si="8"/>
        <v>13?</v>
      </c>
      <c r="T129" t="str">
        <f t="shared" si="9"/>
        <v>13</v>
      </c>
    </row>
    <row r="130" spans="1:20" ht="12.75">
      <c r="A130" s="26"/>
      <c r="B130" s="27"/>
      <c r="C130" s="27" t="s">
        <v>556</v>
      </c>
      <c r="D130" s="27"/>
      <c r="E130" s="27"/>
      <c r="F130" s="29" t="s">
        <v>557</v>
      </c>
      <c r="G130" s="30">
        <f>SUM(G131+G133+G135)</f>
        <v>368000</v>
      </c>
      <c r="H130" s="30">
        <f>SUM(H131+H133+H135)</f>
        <v>563000</v>
      </c>
      <c r="I130" s="30">
        <f>SUM(I131+I133+I135)</f>
        <v>563000</v>
      </c>
      <c r="J130" s="30">
        <f>SUM(J131+J133+J135)</f>
        <v>0</v>
      </c>
      <c r="K130" s="30">
        <f>SUM(K131+K133+K135)</f>
        <v>126882.6</v>
      </c>
      <c r="S130" s="20" t="str">
        <f t="shared" si="8"/>
        <v>131?</v>
      </c>
      <c r="T130" t="str">
        <f t="shared" si="9"/>
        <v>131</v>
      </c>
    </row>
    <row r="131" spans="1:20" ht="12.75">
      <c r="A131" s="42"/>
      <c r="B131" s="43"/>
      <c r="C131" s="43"/>
      <c r="D131" s="43" t="s">
        <v>558</v>
      </c>
      <c r="E131" s="43"/>
      <c r="F131" s="44" t="s">
        <v>559</v>
      </c>
      <c r="G131" s="45">
        <f>SUM(G132)</f>
        <v>55000</v>
      </c>
      <c r="H131" s="45">
        <f>SUM(H132)</f>
        <v>160000</v>
      </c>
      <c r="I131" s="45">
        <f>SUM(I132)</f>
        <v>160000</v>
      </c>
      <c r="J131" s="45">
        <f>SUM(J132)</f>
        <v>0</v>
      </c>
      <c r="K131" s="45">
        <f>SUM(K132)</f>
        <v>27444.74</v>
      </c>
      <c r="S131" s="20" t="str">
        <f t="shared" si="8"/>
        <v>1311.??</v>
      </c>
      <c r="T131" t="str">
        <f t="shared" si="9"/>
        <v>1311</v>
      </c>
    </row>
    <row r="132" spans="1:20" ht="12.75">
      <c r="A132" s="39"/>
      <c r="B132" s="40"/>
      <c r="C132" s="40"/>
      <c r="E132" s="40" t="s">
        <v>558</v>
      </c>
      <c r="F132" s="41" t="s">
        <v>560</v>
      </c>
      <c r="G132" s="34">
        <v>55000</v>
      </c>
      <c r="H132" s="34">
        <v>160000</v>
      </c>
      <c r="I132" s="34">
        <v>160000</v>
      </c>
      <c r="J132" s="46"/>
      <c r="K132" s="34">
        <v>27444.74</v>
      </c>
      <c r="S132" s="20" t="str">
        <f t="shared" si="8"/>
        <v>1311.??</v>
      </c>
      <c r="T132" t="str">
        <f t="shared" si="9"/>
        <v>1311</v>
      </c>
    </row>
    <row r="133" spans="1:20" ht="12.75">
      <c r="A133" s="42"/>
      <c r="B133" s="43"/>
      <c r="C133" s="43"/>
      <c r="D133" s="43" t="s">
        <v>561</v>
      </c>
      <c r="E133" s="43"/>
      <c r="F133" s="44" t="s">
        <v>562</v>
      </c>
      <c r="G133" s="45">
        <f>SUM(G134)</f>
        <v>310000</v>
      </c>
      <c r="H133" s="45">
        <f>SUM(H134)</f>
        <v>400000</v>
      </c>
      <c r="I133" s="45">
        <f>SUM(I134)</f>
        <v>400000</v>
      </c>
      <c r="J133" s="45">
        <f>SUM(J134)</f>
        <v>0</v>
      </c>
      <c r="K133" s="45">
        <f>SUM(K134)</f>
        <v>98973.16</v>
      </c>
      <c r="S133" s="20" t="str">
        <f t="shared" si="8"/>
        <v>1312.??</v>
      </c>
      <c r="T133" t="str">
        <f t="shared" si="9"/>
        <v>1312</v>
      </c>
    </row>
    <row r="134" spans="1:20" ht="12.75">
      <c r="A134" s="39"/>
      <c r="B134" s="40"/>
      <c r="C134" s="40"/>
      <c r="E134" s="40" t="s">
        <v>561</v>
      </c>
      <c r="F134" s="41" t="s">
        <v>563</v>
      </c>
      <c r="G134" s="34">
        <v>310000</v>
      </c>
      <c r="H134" s="34">
        <v>400000</v>
      </c>
      <c r="I134" s="34">
        <v>400000</v>
      </c>
      <c r="J134" s="46"/>
      <c r="K134" s="34">
        <v>98973.16</v>
      </c>
      <c r="S134" s="20" t="str">
        <f t="shared" si="8"/>
        <v>1312.??</v>
      </c>
      <c r="T134" t="str">
        <f t="shared" si="9"/>
        <v>1312</v>
      </c>
    </row>
    <row r="135" spans="1:20" ht="12.75">
      <c r="A135" s="42"/>
      <c r="B135" s="43"/>
      <c r="C135" s="43"/>
      <c r="D135" s="43" t="s">
        <v>564</v>
      </c>
      <c r="E135" s="43"/>
      <c r="F135" s="44" t="s">
        <v>565</v>
      </c>
      <c r="G135" s="45">
        <f>SUM(G136)</f>
        <v>3000</v>
      </c>
      <c r="H135" s="45">
        <f>SUM(H136)</f>
        <v>3000</v>
      </c>
      <c r="I135" s="45">
        <f>SUM(I136)</f>
        <v>3000</v>
      </c>
      <c r="J135" s="45">
        <f>SUM(J136)</f>
        <v>0</v>
      </c>
      <c r="K135" s="45">
        <f>SUM(K136)</f>
        <v>464.7</v>
      </c>
      <c r="S135" s="20" t="str">
        <f t="shared" si="8"/>
        <v>1313.??</v>
      </c>
      <c r="T135" t="str">
        <f t="shared" si="9"/>
        <v>1313</v>
      </c>
    </row>
    <row r="136" spans="1:20" ht="12.75">
      <c r="A136" s="39"/>
      <c r="B136" s="40"/>
      <c r="C136" s="40"/>
      <c r="E136" s="40" t="s">
        <v>564</v>
      </c>
      <c r="F136" s="41" t="s">
        <v>566</v>
      </c>
      <c r="G136" s="34">
        <v>3000</v>
      </c>
      <c r="H136" s="34">
        <v>3000</v>
      </c>
      <c r="I136" s="34">
        <v>3000</v>
      </c>
      <c r="J136" s="46"/>
      <c r="K136" s="34">
        <v>464.7</v>
      </c>
      <c r="S136" s="20" t="str">
        <f t="shared" si="8"/>
        <v>1313.??</v>
      </c>
      <c r="T136" t="str">
        <f t="shared" si="9"/>
        <v>1313</v>
      </c>
    </row>
    <row r="137" spans="1:20" ht="12.75">
      <c r="A137" s="26"/>
      <c r="B137" s="27"/>
      <c r="C137" s="27" t="s">
        <v>567</v>
      </c>
      <c r="D137" s="27"/>
      <c r="E137" s="27"/>
      <c r="F137" s="29" t="s">
        <v>568</v>
      </c>
      <c r="G137" s="30">
        <f>SUM(G138+G140)</f>
        <v>3000</v>
      </c>
      <c r="H137" s="30">
        <f>SUM(H138+H140)</f>
        <v>6500</v>
      </c>
      <c r="I137" s="30">
        <f>SUM(I138+I140)</f>
        <v>6500</v>
      </c>
      <c r="J137" s="30">
        <f>SUM(J138+J140)</f>
        <v>0</v>
      </c>
      <c r="K137" s="30">
        <f>SUM(K138+K140)</f>
        <v>3472.54</v>
      </c>
      <c r="S137" s="20" t="str">
        <f aca="true" t="shared" si="13" ref="S137:S169">IF(LEN(T137)&gt;=6,"",IF(LEN(T137)=0,"",IF(LEN(T137)=4,CONCATENATE(T137,".??"),CONCATENATE(T137,"?"))))</f>
        <v>135?</v>
      </c>
      <c r="T137" t="str">
        <f aca="true" t="shared" si="14" ref="T137:T169">CONCATENATE(A137,B137,C137,D137,E137,)</f>
        <v>135</v>
      </c>
    </row>
    <row r="138" spans="1:20" ht="12.75">
      <c r="A138" s="42"/>
      <c r="B138" s="43"/>
      <c r="C138" s="43"/>
      <c r="D138" s="43" t="s">
        <v>569</v>
      </c>
      <c r="E138" s="43"/>
      <c r="F138" s="44" t="s">
        <v>570</v>
      </c>
      <c r="G138" s="45">
        <f>SUM(G139)</f>
        <v>0</v>
      </c>
      <c r="H138" s="45">
        <f>SUM(H139)</f>
        <v>3000</v>
      </c>
      <c r="I138" s="45">
        <f>SUM(I139)</f>
        <v>3000</v>
      </c>
      <c r="J138" s="45">
        <f>SUM(J139)</f>
        <v>0</v>
      </c>
      <c r="K138" s="45">
        <f>SUM(K139)</f>
        <v>0</v>
      </c>
      <c r="S138" s="20" t="str">
        <f t="shared" si="13"/>
        <v>1351.??</v>
      </c>
      <c r="T138" t="str">
        <f t="shared" si="14"/>
        <v>1351</v>
      </c>
    </row>
    <row r="139" spans="1:20" ht="12.75">
      <c r="A139" s="39"/>
      <c r="B139" s="40"/>
      <c r="C139" s="40"/>
      <c r="E139" s="40" t="s">
        <v>569</v>
      </c>
      <c r="F139" s="41" t="s">
        <v>570</v>
      </c>
      <c r="G139" s="34">
        <v>0</v>
      </c>
      <c r="H139" s="34">
        <v>3000</v>
      </c>
      <c r="I139" s="34">
        <v>3000</v>
      </c>
      <c r="J139" s="46"/>
      <c r="K139" s="34">
        <v>0</v>
      </c>
      <c r="S139" s="20" t="str">
        <f t="shared" si="13"/>
        <v>1351.??</v>
      </c>
      <c r="T139" t="str">
        <f t="shared" si="14"/>
        <v>1351</v>
      </c>
    </row>
    <row r="140" spans="1:20" ht="12.75">
      <c r="A140" s="42"/>
      <c r="B140" s="43"/>
      <c r="C140" s="43"/>
      <c r="D140" s="43" t="s">
        <v>571</v>
      </c>
      <c r="E140" s="43"/>
      <c r="F140" s="44" t="s">
        <v>572</v>
      </c>
      <c r="G140" s="45">
        <f>SUM(G141)</f>
        <v>3000</v>
      </c>
      <c r="H140" s="45">
        <f>SUM(H141)</f>
        <v>3500</v>
      </c>
      <c r="I140" s="45">
        <f>SUM(I141)</f>
        <v>3500</v>
      </c>
      <c r="J140" s="45">
        <f>SUM(J141)</f>
        <v>0</v>
      </c>
      <c r="K140" s="45">
        <f>SUM(K141)</f>
        <v>3472.54</v>
      </c>
      <c r="S140" s="20" t="str">
        <f t="shared" si="13"/>
        <v>1352.??</v>
      </c>
      <c r="T140" t="str">
        <f t="shared" si="14"/>
        <v>1352</v>
      </c>
    </row>
    <row r="141" spans="1:20" ht="12.75">
      <c r="A141" s="39"/>
      <c r="B141" s="40"/>
      <c r="C141" s="40"/>
      <c r="E141" s="40" t="s">
        <v>571</v>
      </c>
      <c r="F141" s="41" t="s">
        <v>572</v>
      </c>
      <c r="G141" s="34">
        <v>3000</v>
      </c>
      <c r="H141" s="34">
        <v>3500</v>
      </c>
      <c r="I141" s="34">
        <v>3500</v>
      </c>
      <c r="J141" s="46"/>
      <c r="K141" s="34">
        <v>3472.54</v>
      </c>
      <c r="S141" s="20" t="str">
        <f t="shared" si="13"/>
        <v>1352.??</v>
      </c>
      <c r="T141" t="str">
        <f t="shared" si="14"/>
        <v>1352</v>
      </c>
    </row>
    <row r="142" spans="1:20" ht="12.75">
      <c r="A142" s="26"/>
      <c r="B142" s="27"/>
      <c r="C142" s="27" t="s">
        <v>573</v>
      </c>
      <c r="D142" s="27"/>
      <c r="E142" s="27"/>
      <c r="F142" s="29" t="s">
        <v>574</v>
      </c>
      <c r="G142" s="30">
        <f aca="true" t="shared" si="15" ref="G142:K143">SUM(G143)</f>
        <v>260000</v>
      </c>
      <c r="H142" s="30">
        <f t="shared" si="15"/>
        <v>250000</v>
      </c>
      <c r="I142" s="30">
        <f t="shared" si="15"/>
        <v>250000</v>
      </c>
      <c r="J142" s="30">
        <f t="shared" si="15"/>
        <v>0</v>
      </c>
      <c r="K142" s="30">
        <f t="shared" si="15"/>
        <v>237036.79</v>
      </c>
      <c r="S142" s="20" t="str">
        <f t="shared" si="13"/>
        <v>138?</v>
      </c>
      <c r="T142" t="str">
        <f t="shared" si="14"/>
        <v>138</v>
      </c>
    </row>
    <row r="143" spans="1:20" ht="12.75">
      <c r="A143" s="42"/>
      <c r="B143" s="43"/>
      <c r="C143" s="43"/>
      <c r="D143" s="43" t="s">
        <v>575</v>
      </c>
      <c r="E143" s="43"/>
      <c r="F143" s="44" t="s">
        <v>576</v>
      </c>
      <c r="G143" s="45">
        <f t="shared" si="15"/>
        <v>260000</v>
      </c>
      <c r="H143" s="45">
        <f t="shared" si="15"/>
        <v>250000</v>
      </c>
      <c r="I143" s="45">
        <f t="shared" si="15"/>
        <v>250000</v>
      </c>
      <c r="J143" s="45">
        <f t="shared" si="15"/>
        <v>0</v>
      </c>
      <c r="K143" s="45">
        <f t="shared" si="15"/>
        <v>237036.79</v>
      </c>
      <c r="S143" s="20" t="str">
        <f t="shared" si="13"/>
        <v>1381.??</v>
      </c>
      <c r="T143" t="str">
        <f t="shared" si="14"/>
        <v>1381</v>
      </c>
    </row>
    <row r="144" spans="1:20" ht="12.75">
      <c r="A144" s="39"/>
      <c r="B144" s="40"/>
      <c r="C144" s="40"/>
      <c r="E144" s="40" t="s">
        <v>575</v>
      </c>
      <c r="F144" s="41" t="s">
        <v>576</v>
      </c>
      <c r="G144" s="34">
        <v>260000</v>
      </c>
      <c r="H144" s="34">
        <v>250000</v>
      </c>
      <c r="I144" s="34">
        <v>250000</v>
      </c>
      <c r="J144" s="46"/>
      <c r="K144" s="34">
        <v>237036.79</v>
      </c>
      <c r="S144" s="20" t="str">
        <f t="shared" si="13"/>
        <v>1381.??</v>
      </c>
      <c r="T144" t="str">
        <f t="shared" si="14"/>
        <v>1381</v>
      </c>
    </row>
    <row r="145" spans="1:20" ht="12.75">
      <c r="A145" s="21"/>
      <c r="B145" s="22" t="s">
        <v>577</v>
      </c>
      <c r="C145" s="22"/>
      <c r="D145" s="22"/>
      <c r="E145" s="22"/>
      <c r="F145" s="24" t="s">
        <v>578</v>
      </c>
      <c r="G145" s="25">
        <f>SUMIF($T146:$T$243,$S145,G146:G$243)</f>
        <v>155000</v>
      </c>
      <c r="H145" s="25">
        <f>SUMIF($T146:$T$243,$S145,H146:H$243)</f>
        <v>180000</v>
      </c>
      <c r="I145" s="25">
        <f>SUMIF($T146:$T$243,$S145,I146:I$243)</f>
        <v>180000</v>
      </c>
      <c r="J145" s="25">
        <f>SUMIF($T146:$T$243,$S145,J146:J$243)</f>
        <v>0</v>
      </c>
      <c r="K145" s="25">
        <f>SUMIF($T146:$T$243,$S145,K146:K$243)</f>
        <v>107937.94</v>
      </c>
      <c r="S145" s="20" t="str">
        <f t="shared" si="13"/>
        <v>14?</v>
      </c>
      <c r="T145" t="str">
        <f t="shared" si="14"/>
        <v>14</v>
      </c>
    </row>
    <row r="146" spans="1:20" ht="12.75">
      <c r="A146" s="26"/>
      <c r="B146" s="27"/>
      <c r="C146" s="27" t="s">
        <v>579</v>
      </c>
      <c r="D146" s="27"/>
      <c r="E146" s="27"/>
      <c r="F146" s="29" t="s">
        <v>256</v>
      </c>
      <c r="G146" s="30">
        <f aca="true" t="shared" si="16" ref="G146:K147">SUM(G147)</f>
        <v>10000</v>
      </c>
      <c r="H146" s="30">
        <f t="shared" si="16"/>
        <v>11000</v>
      </c>
      <c r="I146" s="30">
        <f t="shared" si="16"/>
        <v>11000</v>
      </c>
      <c r="J146" s="30">
        <f t="shared" si="16"/>
        <v>0</v>
      </c>
      <c r="K146" s="30">
        <f t="shared" si="16"/>
        <v>9614.8</v>
      </c>
      <c r="S146" s="20" t="str">
        <f t="shared" si="13"/>
        <v>141?</v>
      </c>
      <c r="T146" t="str">
        <f t="shared" si="14"/>
        <v>141</v>
      </c>
    </row>
    <row r="147" spans="1:20" ht="12.75">
      <c r="A147" s="42"/>
      <c r="B147" s="43"/>
      <c r="C147" s="43"/>
      <c r="D147" s="43" t="s">
        <v>257</v>
      </c>
      <c r="E147" s="43"/>
      <c r="F147" s="44" t="s">
        <v>258</v>
      </c>
      <c r="G147" s="45">
        <f t="shared" si="16"/>
        <v>10000</v>
      </c>
      <c r="H147" s="45">
        <f t="shared" si="16"/>
        <v>11000</v>
      </c>
      <c r="I147" s="45">
        <f t="shared" si="16"/>
        <v>11000</v>
      </c>
      <c r="J147" s="45">
        <f t="shared" si="16"/>
        <v>0</v>
      </c>
      <c r="K147" s="45">
        <f t="shared" si="16"/>
        <v>9614.8</v>
      </c>
      <c r="S147" s="20" t="str">
        <f t="shared" si="13"/>
        <v>1413.??</v>
      </c>
      <c r="T147" t="str">
        <f t="shared" si="14"/>
        <v>1413</v>
      </c>
    </row>
    <row r="148" spans="1:20" ht="12.75">
      <c r="A148" s="39"/>
      <c r="B148" s="40"/>
      <c r="C148" s="40"/>
      <c r="E148" s="40" t="s">
        <v>257</v>
      </c>
      <c r="F148" s="41" t="s">
        <v>258</v>
      </c>
      <c r="G148" s="34">
        <v>10000</v>
      </c>
      <c r="H148" s="34">
        <v>11000</v>
      </c>
      <c r="I148" s="34">
        <v>11000</v>
      </c>
      <c r="J148" s="46"/>
      <c r="K148" s="34">
        <v>9614.8</v>
      </c>
      <c r="S148" s="20" t="str">
        <f t="shared" si="13"/>
        <v>1413.??</v>
      </c>
      <c r="T148" t="str">
        <f t="shared" si="14"/>
        <v>1413</v>
      </c>
    </row>
    <row r="149" spans="1:20" ht="12.75">
      <c r="A149" s="26"/>
      <c r="B149" s="27"/>
      <c r="C149" s="27" t="s">
        <v>259</v>
      </c>
      <c r="D149" s="27"/>
      <c r="E149" s="27"/>
      <c r="F149" s="29" t="s">
        <v>256</v>
      </c>
      <c r="G149" s="30">
        <f>SUM(G150+G152)</f>
        <v>125000</v>
      </c>
      <c r="H149" s="30">
        <f>SUM(H150+H152)</f>
        <v>130000</v>
      </c>
      <c r="I149" s="30">
        <f>SUM(I150+I152)</f>
        <v>130000</v>
      </c>
      <c r="J149" s="30">
        <f>SUM(J150+J152)</f>
        <v>0</v>
      </c>
      <c r="K149" s="30">
        <f>SUM(K150+K152)</f>
        <v>82958.97</v>
      </c>
      <c r="S149" s="20" t="str">
        <f t="shared" si="13"/>
        <v>142?</v>
      </c>
      <c r="T149" t="str">
        <f t="shared" si="14"/>
        <v>142</v>
      </c>
    </row>
    <row r="150" spans="1:20" ht="12.75">
      <c r="A150" s="42"/>
      <c r="B150" s="43"/>
      <c r="C150" s="43"/>
      <c r="D150" s="43" t="s">
        <v>260</v>
      </c>
      <c r="E150" s="43"/>
      <c r="F150" s="44" t="s">
        <v>261</v>
      </c>
      <c r="G150" s="45">
        <f>SUM(G151)</f>
        <v>20000</v>
      </c>
      <c r="H150" s="45">
        <f>SUM(H151)</f>
        <v>20000</v>
      </c>
      <c r="I150" s="45">
        <f>SUM(I151)</f>
        <v>20000</v>
      </c>
      <c r="J150" s="45">
        <f>SUM(J151)</f>
        <v>0</v>
      </c>
      <c r="K150" s="45">
        <f>SUM(K151)</f>
        <v>0</v>
      </c>
      <c r="S150" s="20" t="str">
        <f t="shared" si="13"/>
        <v>1428.??</v>
      </c>
      <c r="T150" t="str">
        <f t="shared" si="14"/>
        <v>1428</v>
      </c>
    </row>
    <row r="151" spans="1:20" ht="12.75">
      <c r="A151" s="39"/>
      <c r="B151" s="40"/>
      <c r="C151" s="40"/>
      <c r="E151" s="40" t="s">
        <v>260</v>
      </c>
      <c r="F151" s="41" t="s">
        <v>261</v>
      </c>
      <c r="G151" s="34">
        <v>20000</v>
      </c>
      <c r="H151" s="34">
        <v>20000</v>
      </c>
      <c r="I151" s="34">
        <v>20000</v>
      </c>
      <c r="J151" s="46"/>
      <c r="K151" s="34">
        <v>0</v>
      </c>
      <c r="S151" s="20" t="str">
        <f t="shared" si="13"/>
        <v>1428.??</v>
      </c>
      <c r="T151" t="str">
        <f t="shared" si="14"/>
        <v>1428</v>
      </c>
    </row>
    <row r="152" spans="1:20" ht="12.75">
      <c r="A152" s="42"/>
      <c r="B152" s="43"/>
      <c r="C152" s="43"/>
      <c r="D152" s="43" t="s">
        <v>262</v>
      </c>
      <c r="E152" s="43"/>
      <c r="F152" s="44" t="s">
        <v>263</v>
      </c>
      <c r="G152" s="45">
        <f>SUM(G153)</f>
        <v>105000</v>
      </c>
      <c r="H152" s="45">
        <f>SUM(H153)</f>
        <v>110000</v>
      </c>
      <c r="I152" s="45">
        <f>SUM(I153)</f>
        <v>110000</v>
      </c>
      <c r="J152" s="45">
        <f>SUM(J153)</f>
        <v>0</v>
      </c>
      <c r="K152" s="45">
        <f>SUM(K153)</f>
        <v>82958.97</v>
      </c>
      <c r="S152" s="20" t="str">
        <f t="shared" si="13"/>
        <v>1429.??</v>
      </c>
      <c r="T152" t="str">
        <f t="shared" si="14"/>
        <v>1429</v>
      </c>
    </row>
    <row r="153" spans="1:20" ht="12.75">
      <c r="A153" s="39"/>
      <c r="B153" s="40"/>
      <c r="C153" s="40"/>
      <c r="E153" s="40" t="s">
        <v>262</v>
      </c>
      <c r="F153" s="41" t="s">
        <v>263</v>
      </c>
      <c r="G153" s="34">
        <v>105000</v>
      </c>
      <c r="H153" s="34">
        <v>110000</v>
      </c>
      <c r="I153" s="34">
        <v>110000</v>
      </c>
      <c r="J153" s="46"/>
      <c r="K153" s="34">
        <v>82958.97</v>
      </c>
      <c r="S153" s="20" t="str">
        <f t="shared" si="13"/>
        <v>1429.??</v>
      </c>
      <c r="T153" t="str">
        <f t="shared" si="14"/>
        <v>1429</v>
      </c>
    </row>
    <row r="154" spans="1:20" ht="12.75">
      <c r="A154" s="26"/>
      <c r="B154" s="27"/>
      <c r="C154" s="27" t="s">
        <v>264</v>
      </c>
      <c r="D154" s="27"/>
      <c r="E154" s="27"/>
      <c r="F154" s="29" t="s">
        <v>265</v>
      </c>
      <c r="G154" s="30">
        <f>SUM(G155+G157+G159+G161+G163)</f>
        <v>20000</v>
      </c>
      <c r="H154" s="30">
        <f>SUM(H155+H157+H159+H161+H163)</f>
        <v>39000</v>
      </c>
      <c r="I154" s="30">
        <f>SUM(I155+I157+I159+I161+I163)</f>
        <v>39000</v>
      </c>
      <c r="J154" s="30">
        <f>SUM(J155+J157+J159+J161+J163)</f>
        <v>0</v>
      </c>
      <c r="K154" s="30">
        <f>SUM(K155+K157+K159+K161+K163)</f>
        <v>15364.169999999998</v>
      </c>
      <c r="S154" s="20" t="str">
        <f t="shared" si="13"/>
        <v>143?</v>
      </c>
      <c r="T154" t="str">
        <f t="shared" si="14"/>
        <v>143</v>
      </c>
    </row>
    <row r="155" spans="1:20" ht="12.75">
      <c r="A155" s="42"/>
      <c r="B155" s="43"/>
      <c r="C155" s="43"/>
      <c r="D155" s="43" t="s">
        <v>266</v>
      </c>
      <c r="E155" s="43"/>
      <c r="F155" s="44" t="s">
        <v>267</v>
      </c>
      <c r="G155" s="45">
        <f>SUM(G156)</f>
        <v>10000</v>
      </c>
      <c r="H155" s="45">
        <f>SUM(H156)</f>
        <v>13000</v>
      </c>
      <c r="I155" s="45">
        <f>SUM(I156)</f>
        <v>13000</v>
      </c>
      <c r="J155" s="45">
        <f>SUM(J156)</f>
        <v>0</v>
      </c>
      <c r="K155" s="45">
        <f>SUM(K156)</f>
        <v>6173.86</v>
      </c>
      <c r="S155" s="20" t="str">
        <f t="shared" si="13"/>
        <v>1431.??</v>
      </c>
      <c r="T155" t="str">
        <f t="shared" si="14"/>
        <v>1431</v>
      </c>
    </row>
    <row r="156" spans="1:20" ht="12.75">
      <c r="A156" s="39"/>
      <c r="B156" s="40"/>
      <c r="C156" s="40"/>
      <c r="E156" s="40" t="s">
        <v>266</v>
      </c>
      <c r="F156" s="41" t="s">
        <v>267</v>
      </c>
      <c r="G156" s="34">
        <v>10000</v>
      </c>
      <c r="H156" s="34">
        <v>13000</v>
      </c>
      <c r="I156" s="34">
        <v>13000</v>
      </c>
      <c r="J156" s="46"/>
      <c r="K156" s="34">
        <v>6173.86</v>
      </c>
      <c r="S156" s="20" t="str">
        <f t="shared" si="13"/>
        <v>1431.??</v>
      </c>
      <c r="T156" t="str">
        <f t="shared" si="14"/>
        <v>1431</v>
      </c>
    </row>
    <row r="157" spans="1:20" ht="12.75">
      <c r="A157" s="42"/>
      <c r="B157" s="43"/>
      <c r="C157" s="43"/>
      <c r="D157" s="43" t="s">
        <v>268</v>
      </c>
      <c r="E157" s="43"/>
      <c r="F157" s="44" t="s">
        <v>269</v>
      </c>
      <c r="G157" s="45">
        <f>SUM(G158)</f>
        <v>5000</v>
      </c>
      <c r="H157" s="45">
        <f>SUM(H158)</f>
        <v>9000</v>
      </c>
      <c r="I157" s="45">
        <f>SUM(I158)</f>
        <v>9000</v>
      </c>
      <c r="J157" s="45">
        <f>SUM(J158)</f>
        <v>0</v>
      </c>
      <c r="K157" s="45">
        <f>SUM(K158)</f>
        <v>4886.15</v>
      </c>
      <c r="S157" s="20" t="str">
        <f t="shared" si="13"/>
        <v>1435.??</v>
      </c>
      <c r="T157" t="str">
        <f t="shared" si="14"/>
        <v>1435</v>
      </c>
    </row>
    <row r="158" spans="1:20" ht="12.75">
      <c r="A158" s="39"/>
      <c r="B158" s="40"/>
      <c r="C158" s="40"/>
      <c r="E158" s="40" t="s">
        <v>268</v>
      </c>
      <c r="F158" s="41" t="s">
        <v>269</v>
      </c>
      <c r="G158" s="34">
        <v>5000</v>
      </c>
      <c r="H158" s="34">
        <v>9000</v>
      </c>
      <c r="I158" s="34">
        <v>9000</v>
      </c>
      <c r="J158" s="46"/>
      <c r="K158" s="34">
        <v>4886.15</v>
      </c>
      <c r="S158" s="20" t="str">
        <f t="shared" si="13"/>
        <v>1435.??</v>
      </c>
      <c r="T158" t="str">
        <f t="shared" si="14"/>
        <v>1435</v>
      </c>
    </row>
    <row r="159" spans="1:20" ht="12.75">
      <c r="A159" s="42"/>
      <c r="B159" s="43"/>
      <c r="C159" s="43"/>
      <c r="D159" s="43" t="s">
        <v>270</v>
      </c>
      <c r="E159" s="43"/>
      <c r="F159" s="44" t="s">
        <v>271</v>
      </c>
      <c r="G159" s="45">
        <f>SUMIF($T160:$T$243,$S159,G160:G$243)</f>
        <v>0</v>
      </c>
      <c r="H159" s="45">
        <f>SUM(H160)</f>
        <v>500</v>
      </c>
      <c r="I159" s="45">
        <f>SUM(I160)</f>
        <v>500</v>
      </c>
      <c r="J159" s="45">
        <f>SUMIF($T160:$T$243,$S159,J160:J$243)</f>
        <v>0</v>
      </c>
      <c r="K159" s="45">
        <f>SUMIF($T160:$T$243,$S159,K160:K$243)</f>
        <v>0</v>
      </c>
      <c r="S159" s="20" t="str">
        <f t="shared" si="13"/>
        <v>1436.??</v>
      </c>
      <c r="T159" t="str">
        <f t="shared" si="14"/>
        <v>1436</v>
      </c>
    </row>
    <row r="160" spans="1:20" ht="12.75">
      <c r="A160" s="39"/>
      <c r="B160" s="40"/>
      <c r="C160" s="40"/>
      <c r="E160" s="40" t="s">
        <v>270</v>
      </c>
      <c r="F160" s="41" t="s">
        <v>271</v>
      </c>
      <c r="G160" s="34">
        <v>0</v>
      </c>
      <c r="H160" s="34">
        <v>500</v>
      </c>
      <c r="I160" s="34">
        <v>500</v>
      </c>
      <c r="J160" s="46"/>
      <c r="K160" s="34"/>
      <c r="S160" s="20" t="str">
        <f t="shared" si="13"/>
        <v>1436.??</v>
      </c>
      <c r="T160" t="str">
        <f t="shared" si="14"/>
        <v>1436</v>
      </c>
    </row>
    <row r="161" spans="1:20" ht="12.75">
      <c r="A161" s="42"/>
      <c r="B161" s="43"/>
      <c r="C161" s="43"/>
      <c r="D161" s="43" t="s">
        <v>272</v>
      </c>
      <c r="E161" s="43"/>
      <c r="F161" s="44" t="s">
        <v>273</v>
      </c>
      <c r="G161" s="45">
        <f>SUMIF($T162:$T$243,$S161,G162:G$243)</f>
        <v>0</v>
      </c>
      <c r="H161" s="45">
        <f>SUM(H162)</f>
        <v>5500</v>
      </c>
      <c r="I161" s="45">
        <f>SUM(I162)</f>
        <v>5500</v>
      </c>
      <c r="J161" s="45">
        <f>SUMIF($T162:$T$243,$S161,J162:J$243)</f>
        <v>0</v>
      </c>
      <c r="K161" s="45">
        <f>SUM(K162)</f>
        <v>97.17</v>
      </c>
      <c r="S161" s="20" t="str">
        <f t="shared" si="13"/>
        <v>1438.??</v>
      </c>
      <c r="T161" t="str">
        <f t="shared" si="14"/>
        <v>1438</v>
      </c>
    </row>
    <row r="162" spans="1:20" ht="12.75">
      <c r="A162" s="39"/>
      <c r="B162" s="40"/>
      <c r="C162" s="40"/>
      <c r="E162" s="40" t="s">
        <v>272</v>
      </c>
      <c r="F162" s="41" t="s">
        <v>273</v>
      </c>
      <c r="G162" s="34">
        <v>0</v>
      </c>
      <c r="H162" s="34">
        <v>5500</v>
      </c>
      <c r="I162" s="34">
        <v>5500</v>
      </c>
      <c r="J162" s="46"/>
      <c r="K162" s="34">
        <v>97.17</v>
      </c>
      <c r="S162" s="20" t="str">
        <f t="shared" si="13"/>
        <v>1438.??</v>
      </c>
      <c r="T162" t="str">
        <f t="shared" si="14"/>
        <v>1438</v>
      </c>
    </row>
    <row r="163" spans="1:20" ht="12.75">
      <c r="A163" s="42"/>
      <c r="B163" s="43"/>
      <c r="C163" s="43"/>
      <c r="D163" s="43" t="s">
        <v>274</v>
      </c>
      <c r="E163" s="43"/>
      <c r="F163" s="44" t="s">
        <v>275</v>
      </c>
      <c r="G163" s="45">
        <f>SUM(G164)</f>
        <v>5000</v>
      </c>
      <c r="H163" s="45">
        <f>SUM(H164)</f>
        <v>11000</v>
      </c>
      <c r="I163" s="45">
        <f>SUM(I164)</f>
        <v>11000</v>
      </c>
      <c r="J163" s="45">
        <f>SUM(J164)</f>
        <v>0</v>
      </c>
      <c r="K163" s="45">
        <f>SUM(K164)</f>
        <v>4206.99</v>
      </c>
      <c r="S163" s="20" t="str">
        <f t="shared" si="13"/>
        <v>1439.??</v>
      </c>
      <c r="T163" t="str">
        <f t="shared" si="14"/>
        <v>1439</v>
      </c>
    </row>
    <row r="164" spans="1:20" ht="12.75">
      <c r="A164" s="39"/>
      <c r="B164" s="40"/>
      <c r="C164" s="40"/>
      <c r="E164" s="40" t="s">
        <v>274</v>
      </c>
      <c r="F164" s="41" t="s">
        <v>275</v>
      </c>
      <c r="G164" s="34">
        <v>5000</v>
      </c>
      <c r="H164" s="34">
        <v>11000</v>
      </c>
      <c r="I164" s="34">
        <v>11000</v>
      </c>
      <c r="J164" s="46"/>
      <c r="K164" s="34">
        <v>4206.99</v>
      </c>
      <c r="S164" s="20" t="str">
        <f t="shared" si="13"/>
        <v>1439.??</v>
      </c>
      <c r="T164" t="str">
        <f t="shared" si="14"/>
        <v>1439</v>
      </c>
    </row>
    <row r="165" spans="1:20" ht="12.75">
      <c r="A165" s="21"/>
      <c r="B165" s="22" t="s">
        <v>276</v>
      </c>
      <c r="C165" s="22"/>
      <c r="D165" s="22"/>
      <c r="E165" s="22"/>
      <c r="F165" s="24" t="s">
        <v>277</v>
      </c>
      <c r="G165" s="25">
        <f>SUMIF($T166:$T$243,$S165,G166:G$243)</f>
        <v>762000</v>
      </c>
      <c r="H165" s="25">
        <f>SUMIF($T166:$T$243,$S165,H166:H$243)</f>
        <v>677000</v>
      </c>
      <c r="I165" s="25">
        <f>SUMIF($T166:$T$243,$S165,I166:I$243)</f>
        <v>677000</v>
      </c>
      <c r="J165" s="25">
        <f>SUMIF($T166:$T$243,$S165,J166:J$243)</f>
        <v>0</v>
      </c>
      <c r="K165" s="25">
        <f>SUMIF($T166:$T$243,$S165,K166:K$243)</f>
        <v>571646.0499999999</v>
      </c>
      <c r="S165" s="20" t="str">
        <f t="shared" si="13"/>
        <v>15?</v>
      </c>
      <c r="T165" t="str">
        <f t="shared" si="14"/>
        <v>15</v>
      </c>
    </row>
    <row r="166" spans="1:20" ht="12.75">
      <c r="A166" s="26"/>
      <c r="B166" s="27"/>
      <c r="C166" s="27" t="s">
        <v>278</v>
      </c>
      <c r="D166" s="27"/>
      <c r="E166" s="27"/>
      <c r="F166" s="29" t="s">
        <v>279</v>
      </c>
      <c r="G166" s="30">
        <f aca="true" t="shared" si="17" ref="G166:K167">SUM(G167)</f>
        <v>735000</v>
      </c>
      <c r="H166" s="30">
        <f t="shared" si="17"/>
        <v>645000</v>
      </c>
      <c r="I166" s="30">
        <f t="shared" si="17"/>
        <v>645000</v>
      </c>
      <c r="J166" s="30">
        <f t="shared" si="17"/>
        <v>0</v>
      </c>
      <c r="K166" s="30">
        <f t="shared" si="17"/>
        <v>555767.23</v>
      </c>
      <c r="S166" s="20" t="str">
        <f t="shared" si="13"/>
        <v>151?</v>
      </c>
      <c r="T166" t="str">
        <f t="shared" si="14"/>
        <v>151</v>
      </c>
    </row>
    <row r="167" spans="1:20" ht="12.75">
      <c r="A167" s="42"/>
      <c r="B167" s="43"/>
      <c r="C167" s="43"/>
      <c r="D167" s="43" t="s">
        <v>280</v>
      </c>
      <c r="E167" s="43"/>
      <c r="F167" s="44" t="s">
        <v>281</v>
      </c>
      <c r="G167" s="45">
        <f t="shared" si="17"/>
        <v>735000</v>
      </c>
      <c r="H167" s="45">
        <f t="shared" si="17"/>
        <v>645000</v>
      </c>
      <c r="I167" s="45">
        <f t="shared" si="17"/>
        <v>645000</v>
      </c>
      <c r="J167" s="45">
        <f t="shared" si="17"/>
        <v>0</v>
      </c>
      <c r="K167" s="45">
        <f t="shared" si="17"/>
        <v>555767.23</v>
      </c>
      <c r="S167" s="20" t="str">
        <f t="shared" si="13"/>
        <v>1511.??</v>
      </c>
      <c r="T167" t="str">
        <f t="shared" si="14"/>
        <v>1511</v>
      </c>
    </row>
    <row r="168" spans="1:20" ht="12.75">
      <c r="A168" s="39"/>
      <c r="B168" s="40"/>
      <c r="C168" s="40"/>
      <c r="E168" s="40" t="s">
        <v>280</v>
      </c>
      <c r="F168" s="41" t="s">
        <v>281</v>
      </c>
      <c r="G168" s="34">
        <v>735000</v>
      </c>
      <c r="H168" s="34">
        <v>645000</v>
      </c>
      <c r="I168" s="34">
        <v>645000</v>
      </c>
      <c r="J168" s="46"/>
      <c r="K168" s="34">
        <v>555767.23</v>
      </c>
      <c r="S168" s="20" t="str">
        <f t="shared" si="13"/>
        <v>1511.??</v>
      </c>
      <c r="T168" t="str">
        <f t="shared" si="14"/>
        <v>1511</v>
      </c>
    </row>
    <row r="169" spans="1:20" ht="12.75">
      <c r="A169" s="26"/>
      <c r="B169" s="27"/>
      <c r="C169" s="27" t="s">
        <v>282</v>
      </c>
      <c r="D169" s="27"/>
      <c r="E169" s="27"/>
      <c r="F169" s="29" t="s">
        <v>283</v>
      </c>
      <c r="G169" s="30">
        <f aca="true" t="shared" si="18" ref="G169:K170">SUM(G170)</f>
        <v>20000</v>
      </c>
      <c r="H169" s="30">
        <f t="shared" si="18"/>
        <v>21000</v>
      </c>
      <c r="I169" s="30">
        <f t="shared" si="18"/>
        <v>21000</v>
      </c>
      <c r="J169" s="30">
        <f t="shared" si="18"/>
        <v>0</v>
      </c>
      <c r="K169" s="30">
        <f t="shared" si="18"/>
        <v>14593.47</v>
      </c>
      <c r="S169" s="20" t="str">
        <f t="shared" si="13"/>
        <v>152?</v>
      </c>
      <c r="T169" t="str">
        <f t="shared" si="14"/>
        <v>152</v>
      </c>
    </row>
    <row r="170" spans="1:20" ht="12.75">
      <c r="A170" s="42"/>
      <c r="B170" s="43"/>
      <c r="C170" s="43"/>
      <c r="D170" s="43" t="s">
        <v>284</v>
      </c>
      <c r="E170" s="43"/>
      <c r="F170" s="44" t="s">
        <v>285</v>
      </c>
      <c r="G170" s="45">
        <f t="shared" si="18"/>
        <v>20000</v>
      </c>
      <c r="H170" s="45">
        <f t="shared" si="18"/>
        <v>21000</v>
      </c>
      <c r="I170" s="45">
        <f t="shared" si="18"/>
        <v>21000</v>
      </c>
      <c r="J170" s="45">
        <f t="shared" si="18"/>
        <v>0</v>
      </c>
      <c r="K170" s="45">
        <f t="shared" si="18"/>
        <v>14593.47</v>
      </c>
      <c r="S170" s="20" t="str">
        <f aca="true" t="shared" si="19" ref="S170:S192">IF(LEN(T170)&gt;=6,"",IF(LEN(T170)=0,"",IF(LEN(T170)=4,CONCATENATE(T170,".??"),CONCATENATE(T170,"?"))))</f>
        <v>1529.??</v>
      </c>
      <c r="T170" t="str">
        <f aca="true" t="shared" si="20" ref="T170:T192">CONCATENATE(A170,B170,C170,D170,E170,)</f>
        <v>1529</v>
      </c>
    </row>
    <row r="171" spans="1:20" ht="12.75">
      <c r="A171" s="39"/>
      <c r="B171" s="40"/>
      <c r="C171" s="40"/>
      <c r="E171" s="40" t="s">
        <v>284</v>
      </c>
      <c r="F171" s="41" t="s">
        <v>285</v>
      </c>
      <c r="G171" s="34">
        <v>20000</v>
      </c>
      <c r="H171" s="34">
        <v>21000</v>
      </c>
      <c r="I171" s="34">
        <v>21000</v>
      </c>
      <c r="J171" s="46"/>
      <c r="K171" s="34">
        <v>14593.47</v>
      </c>
      <c r="S171" s="20" t="str">
        <f t="shared" si="19"/>
        <v>1529.??</v>
      </c>
      <c r="T171" t="str">
        <f t="shared" si="20"/>
        <v>1529</v>
      </c>
    </row>
    <row r="172" spans="1:20" ht="12.75">
      <c r="A172" s="26"/>
      <c r="B172" s="27"/>
      <c r="C172" s="27" t="s">
        <v>286</v>
      </c>
      <c r="D172" s="27"/>
      <c r="E172" s="27"/>
      <c r="F172" s="29" t="s">
        <v>287</v>
      </c>
      <c r="G172" s="30">
        <f aca="true" t="shared" si="21" ref="G172:K173">SUM(G173)</f>
        <v>7000</v>
      </c>
      <c r="H172" s="30">
        <f t="shared" si="21"/>
        <v>11000</v>
      </c>
      <c r="I172" s="30">
        <f t="shared" si="21"/>
        <v>11000</v>
      </c>
      <c r="J172" s="30">
        <f t="shared" si="21"/>
        <v>0</v>
      </c>
      <c r="K172" s="30">
        <f t="shared" si="21"/>
        <v>1285.35</v>
      </c>
      <c r="S172" s="20" t="str">
        <f t="shared" si="19"/>
        <v>153?</v>
      </c>
      <c r="T172" t="str">
        <f t="shared" si="20"/>
        <v>153</v>
      </c>
    </row>
    <row r="173" spans="1:20" ht="12.75">
      <c r="A173" s="42"/>
      <c r="B173" s="43"/>
      <c r="C173" s="43"/>
      <c r="D173" s="43" t="s">
        <v>288</v>
      </c>
      <c r="E173" s="43"/>
      <c r="F173" s="44" t="s">
        <v>289</v>
      </c>
      <c r="G173" s="45">
        <f t="shared" si="21"/>
        <v>7000</v>
      </c>
      <c r="H173" s="45">
        <f t="shared" si="21"/>
        <v>11000</v>
      </c>
      <c r="I173" s="45">
        <f t="shared" si="21"/>
        <v>11000</v>
      </c>
      <c r="J173" s="45">
        <f t="shared" si="21"/>
        <v>0</v>
      </c>
      <c r="K173" s="45">
        <f t="shared" si="21"/>
        <v>1285.35</v>
      </c>
      <c r="S173" s="20" t="str">
        <f t="shared" si="19"/>
        <v>1531.??</v>
      </c>
      <c r="T173" t="str">
        <f t="shared" si="20"/>
        <v>1531</v>
      </c>
    </row>
    <row r="174" spans="1:20" ht="12.75">
      <c r="A174" s="39"/>
      <c r="B174" s="40"/>
      <c r="C174" s="40"/>
      <c r="E174" s="40" t="s">
        <v>288</v>
      </c>
      <c r="F174" s="41" t="s">
        <v>289</v>
      </c>
      <c r="G174" s="34">
        <v>7000</v>
      </c>
      <c r="H174" s="34">
        <v>11000</v>
      </c>
      <c r="I174" s="34">
        <v>11000</v>
      </c>
      <c r="J174" s="46"/>
      <c r="K174" s="34">
        <v>1285.35</v>
      </c>
      <c r="S174" s="20" t="str">
        <f t="shared" si="19"/>
        <v>1531.??</v>
      </c>
      <c r="T174" t="str">
        <f t="shared" si="20"/>
        <v>1531</v>
      </c>
    </row>
    <row r="175" spans="1:20" ht="12.75">
      <c r="A175" s="21"/>
      <c r="B175" s="22" t="s">
        <v>290</v>
      </c>
      <c r="C175" s="22"/>
      <c r="D175" s="22"/>
      <c r="E175" s="22"/>
      <c r="F175" s="24" t="s">
        <v>291</v>
      </c>
      <c r="G175" s="25">
        <f>SUM(G176)</f>
        <v>276000</v>
      </c>
      <c r="H175" s="25">
        <f>SUMIF($T176:$T$243,$S175,H176:H$243)</f>
        <v>323000</v>
      </c>
      <c r="I175" s="25">
        <f>SUMIF($T176:$T$243,$S175,I176:I$243)</f>
        <v>323000</v>
      </c>
      <c r="J175" s="25">
        <f>SUMIF($T176:$T$243,$S175,J176:J$243)</f>
        <v>0</v>
      </c>
      <c r="K175" s="25">
        <f>SUMIF($T176:$T$243,$S175,K176:K$243)</f>
        <v>281138.85</v>
      </c>
      <c r="S175" s="20" t="str">
        <f t="shared" si="19"/>
        <v>16?</v>
      </c>
      <c r="T175" t="str">
        <f t="shared" si="20"/>
        <v>16</v>
      </c>
    </row>
    <row r="176" spans="1:20" ht="12.75">
      <c r="A176" s="26"/>
      <c r="B176" s="27"/>
      <c r="C176" s="27" t="s">
        <v>292</v>
      </c>
      <c r="D176" s="27"/>
      <c r="E176" s="27"/>
      <c r="F176" s="29" t="s">
        <v>293</v>
      </c>
      <c r="G176" s="30">
        <f>SUM(G177+G179)</f>
        <v>276000</v>
      </c>
      <c r="H176" s="30">
        <f>SUM(H177+H179)</f>
        <v>323000</v>
      </c>
      <c r="I176" s="30">
        <f>SUM(I177+I179)</f>
        <v>323000</v>
      </c>
      <c r="J176" s="30">
        <f>SUM(J177+J179)</f>
        <v>0</v>
      </c>
      <c r="K176" s="30">
        <f>SUM(K177+K179)</f>
        <v>281138.85</v>
      </c>
      <c r="S176" s="20" t="str">
        <f t="shared" si="19"/>
        <v>161?</v>
      </c>
      <c r="T176" t="str">
        <f t="shared" si="20"/>
        <v>161</v>
      </c>
    </row>
    <row r="177" spans="1:20" ht="12.75">
      <c r="A177" s="42"/>
      <c r="B177" s="43"/>
      <c r="C177" s="43"/>
      <c r="D177" s="43" t="s">
        <v>294</v>
      </c>
      <c r="E177" s="43"/>
      <c r="F177" s="44" t="s">
        <v>295</v>
      </c>
      <c r="G177" s="45">
        <f>SUM(G178)</f>
        <v>265000</v>
      </c>
      <c r="H177" s="45">
        <f>SUM(H178)</f>
        <v>310000</v>
      </c>
      <c r="I177" s="45">
        <f>SUM(I178)</f>
        <v>310000</v>
      </c>
      <c r="J177" s="45">
        <f>SUM(J178)</f>
        <v>0</v>
      </c>
      <c r="K177" s="45">
        <f>SUM(K178)</f>
        <v>271576.74</v>
      </c>
      <c r="S177" s="20" t="str">
        <f t="shared" si="19"/>
        <v>1611.??</v>
      </c>
      <c r="T177" t="str">
        <f t="shared" si="20"/>
        <v>1611</v>
      </c>
    </row>
    <row r="178" spans="1:20" ht="12.75">
      <c r="A178" s="39"/>
      <c r="B178" s="40"/>
      <c r="C178" s="40"/>
      <c r="E178" s="40" t="s">
        <v>294</v>
      </c>
      <c r="F178" s="41" t="s">
        <v>295</v>
      </c>
      <c r="G178" s="34">
        <v>265000</v>
      </c>
      <c r="H178" s="34">
        <v>310000</v>
      </c>
      <c r="I178" s="34">
        <v>310000</v>
      </c>
      <c r="J178" s="46"/>
      <c r="K178" s="34">
        <v>271576.74</v>
      </c>
      <c r="S178" s="20" t="str">
        <f t="shared" si="19"/>
        <v>1611.??</v>
      </c>
      <c r="T178" t="str">
        <f t="shared" si="20"/>
        <v>1611</v>
      </c>
    </row>
    <row r="179" spans="1:20" ht="12.75">
      <c r="A179" s="42"/>
      <c r="B179" s="43"/>
      <c r="C179" s="43"/>
      <c r="D179" s="43" t="s">
        <v>296</v>
      </c>
      <c r="E179" s="43"/>
      <c r="F179" s="44" t="s">
        <v>297</v>
      </c>
      <c r="G179" s="45">
        <f>SUM(G180)</f>
        <v>11000</v>
      </c>
      <c r="H179" s="45">
        <f>SUM(H180)</f>
        <v>13000</v>
      </c>
      <c r="I179" s="45">
        <f>SUM(I180)</f>
        <v>13000</v>
      </c>
      <c r="J179" s="45">
        <f>SUM(J180)</f>
        <v>0</v>
      </c>
      <c r="K179" s="45">
        <f>SUM(K180)</f>
        <v>9562.11</v>
      </c>
      <c r="S179" s="20" t="str">
        <f t="shared" si="19"/>
        <v>1613.??</v>
      </c>
      <c r="T179" t="str">
        <f t="shared" si="20"/>
        <v>1613</v>
      </c>
    </row>
    <row r="180" spans="1:20" ht="12.75">
      <c r="A180" s="39"/>
      <c r="B180" s="40"/>
      <c r="C180" s="40"/>
      <c r="E180" s="40" t="s">
        <v>296</v>
      </c>
      <c r="F180" s="41" t="s">
        <v>297</v>
      </c>
      <c r="G180" s="34">
        <v>11000</v>
      </c>
      <c r="H180" s="34">
        <v>13000</v>
      </c>
      <c r="I180" s="34">
        <v>13000</v>
      </c>
      <c r="J180" s="46"/>
      <c r="K180" s="34">
        <v>9562.11</v>
      </c>
      <c r="S180" s="20" t="str">
        <f t="shared" si="19"/>
        <v>1613.??</v>
      </c>
      <c r="T180" t="str">
        <f t="shared" si="20"/>
        <v>1613</v>
      </c>
    </row>
    <row r="181" spans="1:20" ht="12.75">
      <c r="A181" s="21"/>
      <c r="B181" s="22" t="s">
        <v>298</v>
      </c>
      <c r="C181" s="22"/>
      <c r="D181" s="22"/>
      <c r="E181" s="22"/>
      <c r="F181" s="24" t="s">
        <v>299</v>
      </c>
      <c r="G181" s="25">
        <f>SUMIF($T182:$T$243,$S181,G182:G$243)</f>
        <v>0</v>
      </c>
      <c r="H181" s="25">
        <f>SUMIF($T182:$T$243,$S181,H182:H$243)</f>
        <v>1500</v>
      </c>
      <c r="I181" s="25">
        <f>SUMIF($T182:$T$243,$S181,I182:I$243)</f>
        <v>1500</v>
      </c>
      <c r="J181" s="25">
        <f>SUMIF($T182:$T$243,$S181,J182:J$243)</f>
        <v>0</v>
      </c>
      <c r="K181" s="25">
        <f>SUMIF($T182:$T$243,$S181,K182:K$243)</f>
        <v>492</v>
      </c>
      <c r="S181" s="20" t="str">
        <f t="shared" si="19"/>
        <v>17?</v>
      </c>
      <c r="T181" t="str">
        <f t="shared" si="20"/>
        <v>17</v>
      </c>
    </row>
    <row r="182" spans="1:20" ht="12.75">
      <c r="A182" s="26"/>
      <c r="B182" s="27"/>
      <c r="C182" s="27" t="s">
        <v>300</v>
      </c>
      <c r="D182" s="27"/>
      <c r="E182" s="27"/>
      <c r="F182" s="29" t="s">
        <v>301</v>
      </c>
      <c r="G182" s="30">
        <f>SUMIF($T183:$T$243,$S182,G183:G$243)</f>
        <v>0</v>
      </c>
      <c r="H182" s="30">
        <f>SUMIF($T183:$T$243,$S182,H183:H$243)</f>
        <v>1500</v>
      </c>
      <c r="I182" s="30">
        <f>SUMIF($T183:$T$243,$S182,I183:I$243)</f>
        <v>1500</v>
      </c>
      <c r="J182" s="30">
        <f>SUMIF($T183:$T$243,$S182,J183:J$243)</f>
        <v>0</v>
      </c>
      <c r="K182" s="30">
        <f>SUMIF($T183:$T$243,$S182,K183:K$243)</f>
        <v>492</v>
      </c>
      <c r="S182" s="20" t="str">
        <f t="shared" si="19"/>
        <v>173?</v>
      </c>
      <c r="T182" t="str">
        <f t="shared" si="20"/>
        <v>173</v>
      </c>
    </row>
    <row r="183" spans="1:20" ht="12.75">
      <c r="A183" s="42"/>
      <c r="B183" s="43"/>
      <c r="C183" s="43"/>
      <c r="D183" s="43" t="s">
        <v>302</v>
      </c>
      <c r="E183" s="43"/>
      <c r="F183" s="44" t="s">
        <v>303</v>
      </c>
      <c r="G183" s="45">
        <f>SUM(G184)</f>
        <v>0</v>
      </c>
      <c r="H183" s="45">
        <f>SUMIF($T184:$T$243,$S183,H184:H$243)</f>
        <v>0</v>
      </c>
      <c r="I183" s="45">
        <f>SUMIF($T184:$T$243,$S183,I184:I$243)</f>
        <v>0</v>
      </c>
      <c r="J183" s="45">
        <f>SUMIF($T184:$T$243,$S183,J184:J$243)</f>
        <v>0</v>
      </c>
      <c r="K183" s="45">
        <f>SUMIF($T184:$T$243,$S183,K184:K$243)</f>
        <v>0</v>
      </c>
      <c r="S183" s="20" t="str">
        <f t="shared" si="19"/>
        <v>1731.??</v>
      </c>
      <c r="T183" t="str">
        <f t="shared" si="20"/>
        <v>1731</v>
      </c>
    </row>
    <row r="184" spans="1:20" ht="12.75">
      <c r="A184" s="39"/>
      <c r="B184" s="40"/>
      <c r="C184" s="40"/>
      <c r="E184" s="40" t="s">
        <v>302</v>
      </c>
      <c r="F184" s="41" t="s">
        <v>303</v>
      </c>
      <c r="G184" s="34">
        <v>0</v>
      </c>
      <c r="H184" s="34">
        <v>1500</v>
      </c>
      <c r="I184" s="34">
        <v>1500</v>
      </c>
      <c r="J184" s="46"/>
      <c r="K184" s="34">
        <v>492</v>
      </c>
      <c r="S184" s="20" t="str">
        <f t="shared" si="19"/>
        <v>1731.??</v>
      </c>
      <c r="T184" t="str">
        <f t="shared" si="20"/>
        <v>1731</v>
      </c>
    </row>
    <row r="185" spans="1:20" ht="12.75">
      <c r="A185" s="21"/>
      <c r="B185" s="22" t="s">
        <v>304</v>
      </c>
      <c r="C185" s="22"/>
      <c r="D185" s="22"/>
      <c r="E185" s="22"/>
      <c r="F185" s="24" t="s">
        <v>305</v>
      </c>
      <c r="G185" s="25">
        <f>SUMIF($T186:$T$243,$S185,G186:G$243)</f>
        <v>19000</v>
      </c>
      <c r="H185" s="25">
        <f>SUMIF($T186:$T$243,$S185,H186:H$243)</f>
        <v>22000</v>
      </c>
      <c r="I185" s="25">
        <f>SUMIF($T186:$T$243,$S185,I186:I$243)</f>
        <v>22000</v>
      </c>
      <c r="J185" s="25">
        <f>SUMIF($T186:$T$243,$S185,J186:J$243)</f>
        <v>0</v>
      </c>
      <c r="K185" s="25">
        <f>SUMIF($T186:$T$243,$S185,K186:K$243)</f>
        <v>4937.639999999999</v>
      </c>
      <c r="S185" s="20" t="str">
        <f t="shared" si="19"/>
        <v>18?</v>
      </c>
      <c r="T185" t="str">
        <f t="shared" si="20"/>
        <v>18</v>
      </c>
    </row>
    <row r="186" spans="1:20" ht="12.75">
      <c r="A186" s="26"/>
      <c r="B186" s="27"/>
      <c r="C186" s="27" t="s">
        <v>306</v>
      </c>
      <c r="D186" s="27"/>
      <c r="E186" s="27"/>
      <c r="F186" s="29" t="s">
        <v>307</v>
      </c>
      <c r="G186" s="30">
        <f>SUMIF($T187:$T$243,$S186,G187:G$243)</f>
        <v>2000</v>
      </c>
      <c r="H186" s="30">
        <f>SUMIF($T187:$T$243,$S186,H187:H$243)</f>
        <v>4000</v>
      </c>
      <c r="I186" s="30">
        <f>SUMIF($T187:$T$243,$S186,I187:I$243)</f>
        <v>4000</v>
      </c>
      <c r="J186" s="30">
        <f>SUMIF($T187:$T$243,$S186,J187:J$243)</f>
        <v>0</v>
      </c>
      <c r="K186" s="30">
        <f>SUMIF($T187:$T$243,$S186,K187:K$243)</f>
        <v>341.45</v>
      </c>
      <c r="S186" s="20" t="str">
        <f t="shared" si="19"/>
        <v>183?</v>
      </c>
      <c r="T186" t="str">
        <f t="shared" si="20"/>
        <v>183</v>
      </c>
    </row>
    <row r="187" spans="1:20" ht="12.75">
      <c r="A187" s="42"/>
      <c r="B187" s="43"/>
      <c r="C187" s="43"/>
      <c r="D187" s="43" t="s">
        <v>308</v>
      </c>
      <c r="E187" s="43"/>
      <c r="F187" s="44" t="s">
        <v>309</v>
      </c>
      <c r="G187" s="45">
        <f>SUMIF($T188:$T$243,$S187,G188:G$243)</f>
        <v>0</v>
      </c>
      <c r="H187" s="45">
        <f>SUMIF($T188:$T$243,$S187,H188:H$243)</f>
        <v>0</v>
      </c>
      <c r="I187" s="45">
        <f>SUMIF($T188:$T$243,$S187,I188:I$243)</f>
        <v>0</v>
      </c>
      <c r="J187" s="45">
        <f>SUMIF($T188:$T$243,$S187,J188:J$243)</f>
        <v>0</v>
      </c>
      <c r="K187" s="45">
        <f>SUMIF($T188:$T$243,$S187,K188:K$243)</f>
        <v>0</v>
      </c>
      <c r="S187" s="20" t="str">
        <f t="shared" si="19"/>
        <v>1831.??</v>
      </c>
      <c r="T187" t="str">
        <f t="shared" si="20"/>
        <v>1831</v>
      </c>
    </row>
    <row r="188" spans="1:20" ht="12.75">
      <c r="A188" s="39"/>
      <c r="B188" s="40"/>
      <c r="C188" s="40"/>
      <c r="E188" s="40" t="s">
        <v>308</v>
      </c>
      <c r="F188" s="41" t="s">
        <v>309</v>
      </c>
      <c r="G188" s="34">
        <v>2000</v>
      </c>
      <c r="H188" s="34">
        <v>4000</v>
      </c>
      <c r="I188" s="34">
        <v>4000</v>
      </c>
      <c r="J188" s="46"/>
      <c r="K188" s="34">
        <v>341.45</v>
      </c>
      <c r="S188" s="20" t="str">
        <f t="shared" si="19"/>
        <v>1831.??</v>
      </c>
      <c r="T188" t="str">
        <f t="shared" si="20"/>
        <v>1831</v>
      </c>
    </row>
    <row r="189" spans="1:20" ht="12.75">
      <c r="A189" s="26"/>
      <c r="B189" s="27"/>
      <c r="C189" s="27" t="s">
        <v>310</v>
      </c>
      <c r="D189" s="27"/>
      <c r="E189" s="27"/>
      <c r="F189" s="29" t="s">
        <v>311</v>
      </c>
      <c r="G189" s="30">
        <f>SUMIF($T190:$T$243,$S189,G190:G$243)</f>
        <v>0</v>
      </c>
      <c r="H189" s="30">
        <f>SUMIF($T190:$T$243,$S189,H190:H$243)</f>
        <v>1000</v>
      </c>
      <c r="I189" s="30">
        <f>SUMIF($T190:$T$243,$S189,I190:I$243)</f>
        <v>1000</v>
      </c>
      <c r="J189" s="30">
        <f>SUMIF($T190:$T$243,$S189,J190:J$243)</f>
        <v>0</v>
      </c>
      <c r="K189" s="30">
        <f>SUMIF($T190:$T$243,$S189,K190:K$243)</f>
        <v>0</v>
      </c>
      <c r="S189" s="20" t="str">
        <f t="shared" si="19"/>
        <v>184?</v>
      </c>
      <c r="T189" t="str">
        <f t="shared" si="20"/>
        <v>184</v>
      </c>
    </row>
    <row r="190" spans="1:20" ht="12.75">
      <c r="A190" s="42"/>
      <c r="B190" s="43"/>
      <c r="C190" s="43"/>
      <c r="D190" s="43" t="s">
        <v>312</v>
      </c>
      <c r="E190" s="43"/>
      <c r="F190" s="44" t="s">
        <v>313</v>
      </c>
      <c r="G190" s="45">
        <f>SUMIF($T191:$T$243,$S190,G191:G$243)</f>
        <v>0</v>
      </c>
      <c r="H190" s="45">
        <f>SUMIF($T191:$T$243,$S190,H191:H$243)</f>
        <v>0</v>
      </c>
      <c r="I190" s="45">
        <f>SUMIF($T191:$T$243,$S190,I191:I$243)</f>
        <v>0</v>
      </c>
      <c r="J190" s="45">
        <f>SUMIF($T191:$T$243,$S190,J191:J$243)</f>
        <v>0</v>
      </c>
      <c r="K190" s="45">
        <f>SUMIF($T191:$T$243,$S190,K191:K$243)</f>
        <v>0</v>
      </c>
      <c r="S190" s="20" t="str">
        <f t="shared" si="19"/>
        <v>1841.??</v>
      </c>
      <c r="T190" t="str">
        <f t="shared" si="20"/>
        <v>1841</v>
      </c>
    </row>
    <row r="191" spans="1:20" ht="12.75">
      <c r="A191" s="39"/>
      <c r="B191" s="40"/>
      <c r="C191" s="40"/>
      <c r="E191" s="40" t="s">
        <v>312</v>
      </c>
      <c r="F191" s="41" t="s">
        <v>313</v>
      </c>
      <c r="G191" s="34">
        <v>0</v>
      </c>
      <c r="H191" s="34">
        <v>1000</v>
      </c>
      <c r="I191" s="34">
        <v>1000</v>
      </c>
      <c r="J191" s="46"/>
      <c r="K191" s="34"/>
      <c r="S191" s="20" t="str">
        <f t="shared" si="19"/>
        <v>1841.??</v>
      </c>
      <c r="T191" t="str">
        <f t="shared" si="20"/>
        <v>1841</v>
      </c>
    </row>
    <row r="192" spans="1:20" ht="12.75">
      <c r="A192" s="26"/>
      <c r="B192" s="27"/>
      <c r="C192" s="27" t="s">
        <v>314</v>
      </c>
      <c r="D192" s="27"/>
      <c r="E192" s="27"/>
      <c r="F192" s="29" t="s">
        <v>315</v>
      </c>
      <c r="G192" s="30">
        <f aca="true" t="shared" si="22" ref="G192:K193">SUM(G193)</f>
        <v>17000</v>
      </c>
      <c r="H192" s="30">
        <f t="shared" si="22"/>
        <v>17000</v>
      </c>
      <c r="I192" s="30">
        <f t="shared" si="22"/>
        <v>17000</v>
      </c>
      <c r="J192" s="30">
        <f t="shared" si="22"/>
        <v>0</v>
      </c>
      <c r="K192" s="30">
        <f t="shared" si="22"/>
        <v>4596.19</v>
      </c>
      <c r="S192" s="20" t="str">
        <f t="shared" si="19"/>
        <v>189?</v>
      </c>
      <c r="T192" t="str">
        <f t="shared" si="20"/>
        <v>189</v>
      </c>
    </row>
    <row r="193" spans="1:20" ht="12.75">
      <c r="A193" s="42"/>
      <c r="B193" s="43"/>
      <c r="C193" s="43"/>
      <c r="D193" s="43" t="s">
        <v>592</v>
      </c>
      <c r="E193" s="43"/>
      <c r="F193" s="44" t="s">
        <v>593</v>
      </c>
      <c r="G193" s="45">
        <f t="shared" si="22"/>
        <v>17000</v>
      </c>
      <c r="H193" s="45">
        <f t="shared" si="22"/>
        <v>17000</v>
      </c>
      <c r="I193" s="45">
        <f t="shared" si="22"/>
        <v>17000</v>
      </c>
      <c r="J193" s="45">
        <f t="shared" si="22"/>
        <v>0</v>
      </c>
      <c r="K193" s="45">
        <f t="shared" si="22"/>
        <v>4596.19</v>
      </c>
      <c r="S193" s="20" t="str">
        <f aca="true" t="shared" si="23" ref="S193:S205">IF(LEN(T193)&gt;=6,"",IF(LEN(T193)=0,"",IF(LEN(T193)=4,CONCATENATE(T193,".??"),CONCATENATE(T193,"?"))))</f>
        <v>1899.??</v>
      </c>
      <c r="T193" t="str">
        <f aca="true" t="shared" si="24" ref="T193:T205">CONCATENATE(A193,B193,C193,D193,E193,)</f>
        <v>1899</v>
      </c>
    </row>
    <row r="194" spans="1:20" ht="12.75">
      <c r="A194" s="39"/>
      <c r="B194" s="40"/>
      <c r="C194" s="40"/>
      <c r="E194" s="40" t="s">
        <v>592</v>
      </c>
      <c r="F194" s="41" t="s">
        <v>593</v>
      </c>
      <c r="G194" s="34">
        <v>17000</v>
      </c>
      <c r="H194" s="34">
        <v>17000</v>
      </c>
      <c r="I194" s="34">
        <v>17000</v>
      </c>
      <c r="J194" s="46"/>
      <c r="K194" s="34">
        <v>4596.19</v>
      </c>
      <c r="S194" s="20" t="str">
        <f t="shared" si="23"/>
        <v>1899.??</v>
      </c>
      <c r="T194" t="str">
        <f t="shared" si="24"/>
        <v>1899</v>
      </c>
    </row>
    <row r="195" spans="1:19" ht="12.75">
      <c r="A195" s="39"/>
      <c r="B195" s="15" t="s">
        <v>67</v>
      </c>
      <c r="C195" s="15"/>
      <c r="D195" s="15"/>
      <c r="E195" s="15"/>
      <c r="F195" s="50" t="s">
        <v>765</v>
      </c>
      <c r="G195" s="51">
        <f>SUM(G196)</f>
        <v>10000</v>
      </c>
      <c r="H195" s="51">
        <f aca="true" t="shared" si="25" ref="H195:K197">SUM(H196)</f>
        <v>0</v>
      </c>
      <c r="I195" s="51">
        <f t="shared" si="25"/>
        <v>0</v>
      </c>
      <c r="J195" s="51">
        <f t="shared" si="25"/>
        <v>0</v>
      </c>
      <c r="K195" s="51">
        <f t="shared" si="25"/>
        <v>0</v>
      </c>
      <c r="S195" s="20"/>
    </row>
    <row r="196" spans="1:19" ht="12.75">
      <c r="A196" s="39"/>
      <c r="B196" s="40"/>
      <c r="C196" s="40"/>
      <c r="D196" s="22" t="s">
        <v>69</v>
      </c>
      <c r="E196" s="22"/>
      <c r="F196" s="24" t="s">
        <v>766</v>
      </c>
      <c r="G196" s="25">
        <f>SUM(G197)</f>
        <v>10000</v>
      </c>
      <c r="H196" s="25">
        <f t="shared" si="25"/>
        <v>0</v>
      </c>
      <c r="I196" s="25">
        <f t="shared" si="25"/>
        <v>0</v>
      </c>
      <c r="J196" s="25">
        <f t="shared" si="25"/>
        <v>0</v>
      </c>
      <c r="K196" s="25">
        <f t="shared" si="25"/>
        <v>0</v>
      </c>
      <c r="S196" s="20"/>
    </row>
    <row r="197" spans="1:19" ht="12.75">
      <c r="A197" s="39"/>
      <c r="B197" s="40"/>
      <c r="C197" s="40"/>
      <c r="D197" s="27" t="s">
        <v>767</v>
      </c>
      <c r="E197" s="27"/>
      <c r="F197" s="29" t="s">
        <v>768</v>
      </c>
      <c r="G197" s="30">
        <f>SUM(G198)</f>
        <v>10000</v>
      </c>
      <c r="H197" s="30">
        <f t="shared" si="25"/>
        <v>0</v>
      </c>
      <c r="I197" s="30">
        <f t="shared" si="25"/>
        <v>0</v>
      </c>
      <c r="J197" s="30">
        <f t="shared" si="25"/>
        <v>0</v>
      </c>
      <c r="K197" s="30">
        <f t="shared" si="25"/>
        <v>0</v>
      </c>
      <c r="S197" s="20"/>
    </row>
    <row r="198" spans="1:19" ht="12.75">
      <c r="A198" s="39"/>
      <c r="B198" s="40"/>
      <c r="C198" s="40"/>
      <c r="D198" s="90"/>
      <c r="E198" s="90" t="s">
        <v>762</v>
      </c>
      <c r="F198" s="91" t="s">
        <v>769</v>
      </c>
      <c r="G198" s="52">
        <v>10000</v>
      </c>
      <c r="H198" s="52">
        <v>0</v>
      </c>
      <c r="I198" s="52">
        <v>0</v>
      </c>
      <c r="J198" s="38"/>
      <c r="K198" s="52">
        <v>0</v>
      </c>
      <c r="S198" s="20"/>
    </row>
    <row r="199" spans="1:20" ht="12.75">
      <c r="A199" s="14">
        <v>3</v>
      </c>
      <c r="B199" s="15"/>
      <c r="C199" s="15"/>
      <c r="D199" s="15"/>
      <c r="E199" s="15"/>
      <c r="F199" s="50" t="s">
        <v>594</v>
      </c>
      <c r="G199" s="51">
        <f>SUMIF($T200:$T$243,$S199,G200:G$243)</f>
        <v>167000</v>
      </c>
      <c r="H199" s="51">
        <f>SUMIF($T200:$T$243,$S199,H200:H$243)</f>
        <v>182000</v>
      </c>
      <c r="I199" s="51">
        <f>SUMIF($T200:$T$243,$S199,I200:I$243)</f>
        <v>182000</v>
      </c>
      <c r="J199" s="51">
        <f>SUMIF($T200:$T$243,$S199,J200:J$243)</f>
        <v>0</v>
      </c>
      <c r="K199" s="51">
        <f>SUMIF($T200:$T$243,$S199,K200:K$243)</f>
        <v>159287.85</v>
      </c>
      <c r="S199" s="20" t="str">
        <f t="shared" si="23"/>
        <v>3?</v>
      </c>
      <c r="T199" t="str">
        <f t="shared" si="24"/>
        <v>3</v>
      </c>
    </row>
    <row r="200" spans="1:20" ht="12.75">
      <c r="A200" s="21"/>
      <c r="B200" s="22" t="s">
        <v>596</v>
      </c>
      <c r="C200" s="22"/>
      <c r="D200" s="22"/>
      <c r="E200" s="22"/>
      <c r="F200" s="24" t="s">
        <v>325</v>
      </c>
      <c r="G200" s="25">
        <f>SUMIF($T201:$T$243,$S200,G201:G$243)</f>
        <v>167000</v>
      </c>
      <c r="H200" s="25">
        <f>SUMIF($T201:$T$243,$S200,H201:H$243)</f>
        <v>182000</v>
      </c>
      <c r="I200" s="25">
        <f>SUMIF($T201:$T$243,$S200,I201:I$243)</f>
        <v>182000</v>
      </c>
      <c r="J200" s="25">
        <f>SUMIF($T201:$T$243,$S200,J201:J$243)</f>
        <v>0</v>
      </c>
      <c r="K200" s="25">
        <f>SUMIF($T201:$T$243,$S200,K201:K$243)</f>
        <v>159287.85</v>
      </c>
      <c r="S200" s="20" t="str">
        <f t="shared" si="23"/>
        <v>33?</v>
      </c>
      <c r="T200" t="str">
        <f t="shared" si="24"/>
        <v>33</v>
      </c>
    </row>
    <row r="201" spans="1:20" ht="12.75">
      <c r="A201" s="26"/>
      <c r="B201" s="27"/>
      <c r="C201" s="27" t="s">
        <v>326</v>
      </c>
      <c r="D201" s="27"/>
      <c r="E201" s="27"/>
      <c r="F201" s="29" t="s">
        <v>327</v>
      </c>
      <c r="G201" s="30">
        <f>SUMIF($T202:$T$243,$S201,G202:G$243)</f>
        <v>5000</v>
      </c>
      <c r="H201" s="30">
        <f>SUMIF($T202:$T$243,$S201,H202:H$243)</f>
        <v>30000</v>
      </c>
      <c r="I201" s="30">
        <f>SUMIF($T202:$T$243,$S201,I202:I$243)</f>
        <v>30000</v>
      </c>
      <c r="J201" s="30">
        <f>SUMIF($T202:$T$243,$S201,J202:J$243)</f>
        <v>0</v>
      </c>
      <c r="K201" s="30">
        <f>SUMIF($T202:$T$243,$S201,K202:K$243)</f>
        <v>20978.29</v>
      </c>
      <c r="S201" s="20" t="str">
        <f t="shared" si="23"/>
        <v>331?</v>
      </c>
      <c r="T201" t="str">
        <f t="shared" si="24"/>
        <v>331</v>
      </c>
    </row>
    <row r="202" spans="1:20" ht="12.75">
      <c r="A202" s="89"/>
      <c r="B202" s="90"/>
      <c r="C202" s="90"/>
      <c r="D202" s="90" t="s">
        <v>328</v>
      </c>
      <c r="E202" s="90"/>
      <c r="F202" s="91" t="s">
        <v>329</v>
      </c>
      <c r="G202" s="52">
        <v>5000</v>
      </c>
      <c r="H202" s="52">
        <v>30000</v>
      </c>
      <c r="I202" s="52">
        <v>30000</v>
      </c>
      <c r="J202" s="38"/>
      <c r="K202" s="52">
        <v>20978.29</v>
      </c>
      <c r="S202" s="20" t="str">
        <f t="shared" si="23"/>
        <v>3311.??</v>
      </c>
      <c r="T202" t="str">
        <f t="shared" si="24"/>
        <v>3311</v>
      </c>
    </row>
    <row r="203" spans="1:20" ht="12.75">
      <c r="A203" s="26"/>
      <c r="B203" s="27"/>
      <c r="C203" s="27" t="s">
        <v>330</v>
      </c>
      <c r="D203" s="27"/>
      <c r="E203" s="27"/>
      <c r="F203" s="29" t="s">
        <v>331</v>
      </c>
      <c r="G203" s="30">
        <f>SUMIF($T204:$T$243,$S203,G204:G$243)</f>
        <v>162000</v>
      </c>
      <c r="H203" s="30">
        <f>SUMIF($T204:$T$243,$S203,H204:H$243)</f>
        <v>152000</v>
      </c>
      <c r="I203" s="30">
        <f>SUMIF($T204:$T$243,$S203,I204:I$243)</f>
        <v>152000</v>
      </c>
      <c r="J203" s="30">
        <f>SUMIF($T204:$T$243,$S203,J204:J$243)</f>
        <v>0</v>
      </c>
      <c r="K203" s="30">
        <f>SUMIF($T204:$T$243,$S203,K204:K$243)</f>
        <v>138309.56</v>
      </c>
      <c r="S203" s="20" t="str">
        <f t="shared" si="23"/>
        <v>339?</v>
      </c>
      <c r="T203" t="str">
        <f t="shared" si="24"/>
        <v>339</v>
      </c>
    </row>
    <row r="204" spans="1:20" ht="12.75">
      <c r="A204" s="89"/>
      <c r="B204" s="90"/>
      <c r="C204" s="90"/>
      <c r="D204" s="90" t="s">
        <v>332</v>
      </c>
      <c r="E204" s="90"/>
      <c r="F204" s="91" t="s">
        <v>333</v>
      </c>
      <c r="G204" s="52">
        <v>160000</v>
      </c>
      <c r="H204" s="52">
        <v>150000</v>
      </c>
      <c r="I204" s="52">
        <v>150000</v>
      </c>
      <c r="J204" s="38"/>
      <c r="K204" s="52">
        <v>136804.26</v>
      </c>
      <c r="S204" s="20" t="str">
        <f t="shared" si="23"/>
        <v>3391.??</v>
      </c>
      <c r="T204" t="str">
        <f t="shared" si="24"/>
        <v>3391</v>
      </c>
    </row>
    <row r="205" spans="1:20" ht="12.75">
      <c r="A205" s="89"/>
      <c r="B205" s="90"/>
      <c r="C205" s="90"/>
      <c r="D205" s="90" t="s">
        <v>777</v>
      </c>
      <c r="E205" s="90"/>
      <c r="F205" s="91" t="s">
        <v>713</v>
      </c>
      <c r="G205" s="52">
        <v>2000</v>
      </c>
      <c r="H205" s="52">
        <v>2000</v>
      </c>
      <c r="I205" s="52">
        <v>2000</v>
      </c>
      <c r="J205" s="38"/>
      <c r="K205" s="52">
        <v>1505.3</v>
      </c>
      <c r="S205" s="20" t="str">
        <f t="shared" si="23"/>
        <v>3399.??</v>
      </c>
      <c r="T205" t="str">
        <f t="shared" si="24"/>
        <v>3399</v>
      </c>
    </row>
    <row r="206" spans="1:20" ht="12.75">
      <c r="A206" s="14">
        <v>7</v>
      </c>
      <c r="B206" s="15"/>
      <c r="C206" s="15"/>
      <c r="D206" s="15"/>
      <c r="E206" s="15"/>
      <c r="F206" s="50" t="s">
        <v>605</v>
      </c>
      <c r="G206" s="51">
        <f>SUMIF($T207:$T$243,$S206,G207:G$243)</f>
        <v>184000</v>
      </c>
      <c r="H206" s="51">
        <f>SUMIF($T207:$T$243,$S206,H207:H$243)</f>
        <v>21500</v>
      </c>
      <c r="I206" s="51">
        <f>SUMIF($T207:$T$243,$S206,I207:I$243)</f>
        <v>21500</v>
      </c>
      <c r="J206" s="51">
        <f>SUMIF($T207:$T$243,$S206,J207:J$243)</f>
        <v>0</v>
      </c>
      <c r="K206" s="51">
        <f>SUMIF($T207:$T$243,$S206,K207:K$243)</f>
        <v>26943.27</v>
      </c>
      <c r="S206" s="20" t="str">
        <f aca="true" t="shared" si="26" ref="S206:S220">IF(LEN(T206)&gt;=6,"",IF(LEN(T206)=0,"",IF(LEN(T206)=4,CONCATENATE(T206,".??"),CONCATENATE(T206,"?"))))</f>
        <v>7?</v>
      </c>
      <c r="T206" t="str">
        <f aca="true" t="shared" si="27" ref="T206:T220">CONCATENATE(A206,B206,C206,D206,E206,)</f>
        <v>7</v>
      </c>
    </row>
    <row r="207" spans="1:20" ht="12.75">
      <c r="A207" s="21"/>
      <c r="B207" s="22" t="s">
        <v>606</v>
      </c>
      <c r="C207" s="22"/>
      <c r="D207" s="22"/>
      <c r="E207" s="22"/>
      <c r="F207" s="24" t="s">
        <v>607</v>
      </c>
      <c r="G207" s="25">
        <f>SUMIF($T208:$T$243,$S207,G208:G$243)</f>
        <v>184000</v>
      </c>
      <c r="H207" s="25">
        <f>SUMIF($T208:$T$243,$S207,H208:H$243)</f>
        <v>21500</v>
      </c>
      <c r="I207" s="25">
        <f>SUMIF($T208:$T$243,$S207,I208:I$243)</f>
        <v>21500</v>
      </c>
      <c r="J207" s="25">
        <f>SUMIF($T208:$T$243,$S207,J208:J$243)</f>
        <v>0</v>
      </c>
      <c r="K207" s="25">
        <f>SUMIF($T208:$T$243,$S207,K208:K$243)</f>
        <v>26943.27</v>
      </c>
      <c r="S207" s="20" t="str">
        <f t="shared" si="26"/>
        <v>71?</v>
      </c>
      <c r="T207" t="str">
        <f t="shared" si="27"/>
        <v>71</v>
      </c>
    </row>
    <row r="208" spans="1:20" ht="12.75">
      <c r="A208" s="26"/>
      <c r="B208" s="27"/>
      <c r="C208" s="27" t="s">
        <v>608</v>
      </c>
      <c r="D208" s="27"/>
      <c r="E208" s="27"/>
      <c r="F208" s="29" t="s">
        <v>609</v>
      </c>
      <c r="G208" s="30">
        <f>SUM(G209+G211)</f>
        <v>176000</v>
      </c>
      <c r="H208" s="30">
        <f>SUM(H209+H211)</f>
        <v>13500</v>
      </c>
      <c r="I208" s="30">
        <f>SUM(I209+I211)</f>
        <v>13500</v>
      </c>
      <c r="J208" s="30">
        <f>SUM(J209+J211)</f>
        <v>0</v>
      </c>
      <c r="K208" s="30">
        <f>SUM(K209+K211)</f>
        <v>19610.07</v>
      </c>
      <c r="S208" s="20" t="str">
        <f t="shared" si="26"/>
        <v>711?</v>
      </c>
      <c r="T208" t="str">
        <f t="shared" si="27"/>
        <v>711</v>
      </c>
    </row>
    <row r="209" spans="1:20" ht="12.75">
      <c r="A209" s="42"/>
      <c r="B209" s="43"/>
      <c r="C209" s="43"/>
      <c r="D209" s="43" t="s">
        <v>610</v>
      </c>
      <c r="E209" s="43"/>
      <c r="F209" s="44" t="s">
        <v>611</v>
      </c>
      <c r="G209" s="45">
        <f>SUM(G210)</f>
        <v>5000</v>
      </c>
      <c r="H209" s="45">
        <f>SUM(H210)</f>
        <v>5500</v>
      </c>
      <c r="I209" s="45">
        <f>SUM(I210)</f>
        <v>5500</v>
      </c>
      <c r="J209" s="45">
        <f>SUM(J210)</f>
        <v>0</v>
      </c>
      <c r="K209" s="45">
        <f>SUM(K210)</f>
        <v>11799.74</v>
      </c>
      <c r="S209" s="20" t="str">
        <f t="shared" si="26"/>
        <v>7111.??</v>
      </c>
      <c r="T209" t="str">
        <f t="shared" si="27"/>
        <v>7111</v>
      </c>
    </row>
    <row r="210" spans="1:20" ht="12.75">
      <c r="A210" s="39"/>
      <c r="B210" s="40"/>
      <c r="C210" s="40"/>
      <c r="E210" s="40" t="s">
        <v>610</v>
      </c>
      <c r="F210" s="41" t="s">
        <v>611</v>
      </c>
      <c r="G210" s="34">
        <v>5000</v>
      </c>
      <c r="H210" s="34">
        <v>5500</v>
      </c>
      <c r="I210" s="34">
        <v>5500</v>
      </c>
      <c r="J210" s="46"/>
      <c r="K210" s="34">
        <v>11799.74</v>
      </c>
      <c r="S210" s="20" t="str">
        <f t="shared" si="26"/>
        <v>7111.??</v>
      </c>
      <c r="T210" t="str">
        <f t="shared" si="27"/>
        <v>7111</v>
      </c>
    </row>
    <row r="211" spans="1:20" ht="12.75">
      <c r="A211" s="42"/>
      <c r="B211" s="43"/>
      <c r="C211" s="43"/>
      <c r="D211" s="43" t="s">
        <v>612</v>
      </c>
      <c r="E211" s="43"/>
      <c r="F211" s="44" t="s">
        <v>613</v>
      </c>
      <c r="G211" s="45">
        <f>SUM(G212)</f>
        <v>171000</v>
      </c>
      <c r="H211" s="45">
        <f>SUM(H212)</f>
        <v>8000</v>
      </c>
      <c r="I211" s="45">
        <f>SUM(I212)</f>
        <v>8000</v>
      </c>
      <c r="J211" s="45">
        <f>SUM(J212)</f>
        <v>0</v>
      </c>
      <c r="K211" s="45">
        <f>SUM(K212)</f>
        <v>7810.33</v>
      </c>
      <c r="S211" s="20" t="str">
        <f t="shared" si="26"/>
        <v>7112.??</v>
      </c>
      <c r="T211" t="str">
        <f t="shared" si="27"/>
        <v>7112</v>
      </c>
    </row>
    <row r="212" spans="1:20" ht="12.75">
      <c r="A212" s="39"/>
      <c r="B212" s="40"/>
      <c r="C212" s="40"/>
      <c r="E212" s="40" t="s">
        <v>612</v>
      </c>
      <c r="F212" s="41" t="s">
        <v>613</v>
      </c>
      <c r="G212" s="34">
        <v>171000</v>
      </c>
      <c r="H212" s="34">
        <v>8000</v>
      </c>
      <c r="I212" s="34">
        <v>8000</v>
      </c>
      <c r="J212" s="46"/>
      <c r="K212" s="34">
        <v>7810.33</v>
      </c>
      <c r="S212" s="20" t="str">
        <f t="shared" si="26"/>
        <v>7112.??</v>
      </c>
      <c r="T212" t="str">
        <f t="shared" si="27"/>
        <v>7112</v>
      </c>
    </row>
    <row r="213" spans="1:20" ht="12.75">
      <c r="A213" s="26"/>
      <c r="B213" s="27"/>
      <c r="C213" s="27" t="s">
        <v>614</v>
      </c>
      <c r="D213" s="27"/>
      <c r="E213" s="27"/>
      <c r="F213" s="29" t="s">
        <v>615</v>
      </c>
      <c r="G213" s="30">
        <f>SUMIF($T214:$T$243,$S213,G214:G$243)</f>
        <v>8000</v>
      </c>
      <c r="H213" s="30">
        <f>SUMIF($T214:$T$243,$S213,H214:H$243)</f>
        <v>8000</v>
      </c>
      <c r="I213" s="30">
        <f>SUMIF($T214:$T$243,$S213,I214:I$243)</f>
        <v>8000</v>
      </c>
      <c r="J213" s="30">
        <f>SUMIF($T214:$T$243,$S213,J214:J$243)</f>
        <v>0</v>
      </c>
      <c r="K213" s="30">
        <f>SUMIF($T214:$T$243,$S213,K214:K$243)</f>
        <v>7333.2</v>
      </c>
      <c r="S213" s="20" t="str">
        <f t="shared" si="26"/>
        <v>712?</v>
      </c>
      <c r="T213" t="str">
        <f t="shared" si="27"/>
        <v>712</v>
      </c>
    </row>
    <row r="214" spans="1:20" ht="12.75">
      <c r="A214" s="42"/>
      <c r="B214" s="43"/>
      <c r="C214" s="43"/>
      <c r="D214" s="43" t="s">
        <v>617</v>
      </c>
      <c r="E214" s="43"/>
      <c r="F214" s="44" t="s">
        <v>7</v>
      </c>
      <c r="G214" s="45">
        <f>SUMIF($T215:$T$243,$S214,G215:G$243)</f>
        <v>0</v>
      </c>
      <c r="H214" s="45">
        <f>SUMIF($T215:$T$243,$S214,H215:H$243)</f>
        <v>0</v>
      </c>
      <c r="I214" s="45">
        <f>SUMIF($T215:$T$243,$S214,I215:I$243)</f>
        <v>0</v>
      </c>
      <c r="J214" s="45">
        <f>SUMIF($T215:$T$243,$S214,J215:J$243)</f>
        <v>0</v>
      </c>
      <c r="K214" s="45">
        <f>SUMIF($T215:$T$243,$S214,K215:K$243)</f>
        <v>0</v>
      </c>
      <c r="S214" s="20" t="str">
        <f t="shared" si="26"/>
        <v>7123.??</v>
      </c>
      <c r="T214" t="str">
        <f t="shared" si="27"/>
        <v>7123</v>
      </c>
    </row>
    <row r="215" spans="1:20" ht="12.75">
      <c r="A215" s="39"/>
      <c r="B215" s="40"/>
      <c r="C215" s="40"/>
      <c r="E215" s="40" t="s">
        <v>617</v>
      </c>
      <c r="F215" s="41" t="s">
        <v>7</v>
      </c>
      <c r="G215" s="34">
        <v>6000</v>
      </c>
      <c r="H215" s="34">
        <v>6000</v>
      </c>
      <c r="I215" s="34">
        <v>6000</v>
      </c>
      <c r="J215" s="46"/>
      <c r="K215" s="34">
        <v>3996.8</v>
      </c>
      <c r="S215" s="20" t="str">
        <f t="shared" si="26"/>
        <v>7123.??</v>
      </c>
      <c r="T215" t="str">
        <f t="shared" si="27"/>
        <v>7123</v>
      </c>
    </row>
    <row r="216" spans="1:20" ht="12.75">
      <c r="A216" s="42"/>
      <c r="B216" s="43"/>
      <c r="C216" s="43"/>
      <c r="D216" s="43" t="s">
        <v>8</v>
      </c>
      <c r="E216" s="43"/>
      <c r="F216" s="44" t="s">
        <v>9</v>
      </c>
      <c r="G216" s="45">
        <f>SUMIF($T217:$T$243,$S216,G217:G$243)</f>
        <v>0</v>
      </c>
      <c r="H216" s="45">
        <f>SUMIF($T217:$T$243,$S216,H217:H$243)</f>
        <v>0</v>
      </c>
      <c r="I216" s="45">
        <f>SUMIF($T217:$T$243,$S216,I217:I$243)</f>
        <v>0</v>
      </c>
      <c r="J216" s="45">
        <f>SUMIF($T217:$T$243,$S216,J217:J$243)</f>
        <v>0</v>
      </c>
      <c r="K216" s="45">
        <f>SUMIF($T217:$T$243,$S216,K217:K$243)</f>
        <v>0</v>
      </c>
      <c r="S216" s="20" t="str">
        <f t="shared" si="26"/>
        <v>7124.??</v>
      </c>
      <c r="T216" t="str">
        <f t="shared" si="27"/>
        <v>7124</v>
      </c>
    </row>
    <row r="217" spans="1:20" ht="12.75">
      <c r="A217" s="39"/>
      <c r="B217" s="40"/>
      <c r="C217" s="40"/>
      <c r="E217" s="40" t="s">
        <v>8</v>
      </c>
      <c r="F217" s="41" t="s">
        <v>9</v>
      </c>
      <c r="G217" s="34">
        <v>2000</v>
      </c>
      <c r="H217" s="34">
        <v>2000</v>
      </c>
      <c r="I217" s="34">
        <v>2000</v>
      </c>
      <c r="J217" s="46"/>
      <c r="K217" s="34">
        <v>836.4</v>
      </c>
      <c r="S217" s="20" t="str">
        <f t="shared" si="26"/>
        <v>7124.??</v>
      </c>
      <c r="T217" t="str">
        <f t="shared" si="27"/>
        <v>7124</v>
      </c>
    </row>
    <row r="218" spans="1:20" ht="12.75">
      <c r="A218" s="42"/>
      <c r="B218" s="43"/>
      <c r="C218" s="43"/>
      <c r="D218" s="43" t="s">
        <v>10</v>
      </c>
      <c r="E218" s="43"/>
      <c r="F218" s="44" t="s">
        <v>11</v>
      </c>
      <c r="G218" s="45">
        <f>SUMIF($T219:$T$243,$S218,G219:G$243)</f>
        <v>0</v>
      </c>
      <c r="H218" s="45">
        <f>SUMIF($T219:$T$243,$S218,H219:H$243)</f>
        <v>0</v>
      </c>
      <c r="I218" s="45">
        <f>SUMIF($T219:$T$243,$S218,I219:I$243)</f>
        <v>0</v>
      </c>
      <c r="J218" s="45">
        <f>SUMIF($T219:$T$243,$S218,J219:J$243)</f>
        <v>0</v>
      </c>
      <c r="K218" s="45">
        <f>SUMIF($T219:$T$243,$S218,K219:K$243)</f>
        <v>0</v>
      </c>
      <c r="S218" s="20" t="str">
        <f t="shared" si="26"/>
        <v>7127.??</v>
      </c>
      <c r="T218" t="str">
        <f t="shared" si="27"/>
        <v>7127</v>
      </c>
    </row>
    <row r="219" spans="1:20" ht="12.75">
      <c r="A219" s="39"/>
      <c r="B219" s="40"/>
      <c r="C219" s="40"/>
      <c r="E219" s="40" t="s">
        <v>10</v>
      </c>
      <c r="F219" s="41" t="s">
        <v>11</v>
      </c>
      <c r="G219" s="34">
        <v>0</v>
      </c>
      <c r="H219" s="34">
        <v>0</v>
      </c>
      <c r="I219" s="34">
        <v>0</v>
      </c>
      <c r="J219" s="46"/>
      <c r="K219" s="34">
        <v>2500</v>
      </c>
      <c r="S219" s="20" t="str">
        <f t="shared" si="26"/>
        <v>7127.??</v>
      </c>
      <c r="T219" t="str">
        <f t="shared" si="27"/>
        <v>7127</v>
      </c>
    </row>
    <row r="220" spans="1:20" ht="12.75">
      <c r="A220" s="14">
        <v>9</v>
      </c>
      <c r="B220" s="15"/>
      <c r="C220" s="15"/>
      <c r="D220" s="15"/>
      <c r="E220" s="15"/>
      <c r="F220" s="50" t="s">
        <v>12</v>
      </c>
      <c r="G220" s="51">
        <f>SUMIF($T221:$T$243,$S220,G221:G$243)</f>
        <v>432000</v>
      </c>
      <c r="H220" s="51">
        <f>SUMIF($T221:$T$243,$S220,H221:H$243)</f>
        <v>333000</v>
      </c>
      <c r="I220" s="51">
        <f>SUMIF($T221:$T$243,$S220,I221:I$243)</f>
        <v>333000</v>
      </c>
      <c r="J220" s="51">
        <f>SUMIF($T221:$T$243,$S220,J221:J$243)</f>
        <v>0</v>
      </c>
      <c r="K220" s="51">
        <f>SUMIF($T221:$T$243,$S220,K221:K$243)</f>
        <v>524924.91</v>
      </c>
      <c r="S220" s="20" t="str">
        <f t="shared" si="26"/>
        <v>9?</v>
      </c>
      <c r="T220" t="str">
        <f t="shared" si="27"/>
        <v>9</v>
      </c>
    </row>
    <row r="221" spans="1:20" ht="12.75">
      <c r="A221" s="21"/>
      <c r="B221" s="22" t="s">
        <v>376</v>
      </c>
      <c r="C221" s="22"/>
      <c r="D221" s="22"/>
      <c r="E221" s="22"/>
      <c r="F221" s="24" t="s">
        <v>377</v>
      </c>
      <c r="G221" s="25">
        <f>SUMIF($T222:$T$243,$S221,G222:G$243)</f>
        <v>282000</v>
      </c>
      <c r="H221" s="25">
        <f>SUMIF($T222:$T$243,$S221,H222:H$243)</f>
        <v>241000</v>
      </c>
      <c r="I221" s="25">
        <f>SUMIF($T222:$T$243,$S221,I222:I$243)</f>
        <v>241000</v>
      </c>
      <c r="J221" s="25">
        <f>SUMIF($T222:$T$243,$S221,J222:J$243)</f>
        <v>0</v>
      </c>
      <c r="K221" s="25">
        <f>SUMIF($T222:$T$243,$S221,K222:K$243)</f>
        <v>460000</v>
      </c>
      <c r="S221" s="20" t="str">
        <f>IF(LEN(T221)&gt;=6,"",IF(LEN(T221)=0,"",IF(LEN(T221)=4,CONCATENATE(T221,".??"),CONCATENATE(T221,"?"))))</f>
        <v>93?</v>
      </c>
      <c r="T221" t="str">
        <f aca="true" t="shared" si="28" ref="T221:T227">CONCATENATE(A221,B221,C221,D221,E221,)</f>
        <v>93</v>
      </c>
    </row>
    <row r="222" spans="1:20" ht="12.75">
      <c r="A222" s="26"/>
      <c r="B222" s="27"/>
      <c r="C222" s="27" t="s">
        <v>19</v>
      </c>
      <c r="D222" s="27"/>
      <c r="E222" s="27"/>
      <c r="F222" s="29" t="s">
        <v>20</v>
      </c>
      <c r="G222" s="30">
        <f>SUMIF($T223:$T$243,$S222,G223:G$243)</f>
        <v>282000</v>
      </c>
      <c r="H222" s="30">
        <f>SUMIF($T223:$T$243,$S222,H223:H$243)</f>
        <v>241000</v>
      </c>
      <c r="I222" s="30">
        <f>SUMIF($T223:$T$243,$S222,I223:I$243)</f>
        <v>241000</v>
      </c>
      <c r="J222" s="30">
        <f>SUMIF($T223:$T$243,$S222,J223:J$243)</f>
        <v>0</v>
      </c>
      <c r="K222" s="30">
        <f>SUMIF($T223:$T$243,$S222,K223:K$243)</f>
        <v>460000</v>
      </c>
      <c r="S222" s="20" t="str">
        <f>IF(LEN(T222)&gt;=6,"",IF(LEN(T222)=0,"",IF(LEN(T222)=4,CONCATENATE(T222,".??"),CONCATENATE(T222,"?"))))</f>
        <v>933?</v>
      </c>
      <c r="T222" t="str">
        <f t="shared" si="28"/>
        <v>933</v>
      </c>
    </row>
    <row r="223" spans="1:20" ht="12.75">
      <c r="A223" s="89"/>
      <c r="B223" s="90"/>
      <c r="C223" s="90"/>
      <c r="D223" s="90" t="s">
        <v>21</v>
      </c>
      <c r="E223" s="90"/>
      <c r="F223" s="91" t="s">
        <v>22</v>
      </c>
      <c r="G223" s="52">
        <v>282000</v>
      </c>
      <c r="H223" s="52">
        <v>241000</v>
      </c>
      <c r="I223" s="52">
        <v>241000</v>
      </c>
      <c r="J223" s="38"/>
      <c r="K223" s="52">
        <v>460000</v>
      </c>
      <c r="S223" s="20" t="str">
        <f>IF(LEN(T223)&gt;=6,"",IF(LEN(T223)=0,"",IF(LEN(T223)=4,CONCATENATE(T223,".??"),CONCATENATE(T223,"?"))))</f>
        <v>9333.??</v>
      </c>
      <c r="T223" t="str">
        <f t="shared" si="28"/>
        <v>9333</v>
      </c>
    </row>
    <row r="224" spans="1:20" ht="12.75">
      <c r="A224" s="21"/>
      <c r="B224" s="22" t="s">
        <v>386</v>
      </c>
      <c r="C224" s="22"/>
      <c r="D224" s="22"/>
      <c r="E224" s="22"/>
      <c r="F224" s="24" t="s">
        <v>387</v>
      </c>
      <c r="G224" s="25">
        <f>SUMIF($T225:$T$243,$S224,G225:G$243)</f>
        <v>150000</v>
      </c>
      <c r="H224" s="25">
        <f>SUMIF($T225:$T$243,$S224,H225:H$243)</f>
        <v>92000</v>
      </c>
      <c r="I224" s="25">
        <f>SUMIF($T225:$T$243,$S224,I225:I$243)</f>
        <v>92000</v>
      </c>
      <c r="J224" s="25">
        <f>SUMIF($T225:$T$243,$S224,J225:J$243)</f>
        <v>0</v>
      </c>
      <c r="K224" s="25">
        <f>SUMIF($T225:$T$243,$S224,K225:K$243)</f>
        <v>64924.91</v>
      </c>
      <c r="S224" s="20" t="str">
        <f aca="true" t="shared" si="29" ref="S224:S237">IF(LEN(T224)&gt;=6,"",IF(LEN(T224)=0,"",IF(LEN(T224)=4,CONCATENATE(T224,".??"),CONCATENATE(T224,"?"))))</f>
        <v>97?</v>
      </c>
      <c r="T224" t="str">
        <f t="shared" si="28"/>
        <v>97</v>
      </c>
    </row>
    <row r="225" spans="1:20" ht="12.75">
      <c r="A225" s="26"/>
      <c r="B225" s="27"/>
      <c r="C225" s="27" t="s">
        <v>388</v>
      </c>
      <c r="D225" s="27"/>
      <c r="E225" s="27"/>
      <c r="F225" s="29" t="s">
        <v>389</v>
      </c>
      <c r="G225" s="30">
        <f>SUMIF($T226:$T$243,$S225,G226:G$243)</f>
        <v>60000</v>
      </c>
      <c r="H225" s="30">
        <f>SUMIF($T226:$T$243,$S225,H226:H$243)</f>
        <v>15000</v>
      </c>
      <c r="I225" s="30">
        <f>SUMIF($T226:$T$243,$S225,I226:I$243)</f>
        <v>15000</v>
      </c>
      <c r="J225" s="30">
        <f>SUMIF($T226:$T$243,$S225,J226:J$243)</f>
        <v>0</v>
      </c>
      <c r="K225" s="30">
        <f>SUMIF($T226:$T$243,$S225,K226:K$243)</f>
        <v>23083.91</v>
      </c>
      <c r="S225" s="20" t="str">
        <f t="shared" si="29"/>
        <v>972?</v>
      </c>
      <c r="T225" t="str">
        <f t="shared" si="28"/>
        <v>972</v>
      </c>
    </row>
    <row r="226" spans="1:20" ht="12.75">
      <c r="A226" s="42"/>
      <c r="B226" s="43"/>
      <c r="C226" s="43"/>
      <c r="D226" s="43" t="s">
        <v>390</v>
      </c>
      <c r="E226" s="43"/>
      <c r="F226" s="44" t="s">
        <v>391</v>
      </c>
      <c r="G226" s="45">
        <f>SUMIF($T227:$T$243,$S226,G227:G$243)</f>
        <v>0</v>
      </c>
      <c r="H226" s="45">
        <f>SUMIF($T227:$T$243,$S226,H227:H$243)</f>
        <v>0</v>
      </c>
      <c r="I226" s="45">
        <f>SUMIF($T227:$T$243,$S226,I227:I$243)</f>
        <v>0</v>
      </c>
      <c r="J226" s="45">
        <f>SUMIF($T227:$T$243,$S226,J227:J$243)</f>
        <v>0</v>
      </c>
      <c r="K226" s="45">
        <f>SUMIF($T227:$T$243,$S226,K227:K$243)</f>
        <v>0</v>
      </c>
      <c r="S226" s="20" t="str">
        <f t="shared" si="29"/>
        <v>9723.??</v>
      </c>
      <c r="T226" t="str">
        <f t="shared" si="28"/>
        <v>9723</v>
      </c>
    </row>
    <row r="227" spans="1:20" ht="12.75">
      <c r="A227" s="39"/>
      <c r="B227" s="40"/>
      <c r="C227" s="40"/>
      <c r="E227" s="40" t="s">
        <v>390</v>
      </c>
      <c r="F227" s="41" t="s">
        <v>391</v>
      </c>
      <c r="G227" s="34">
        <v>60000</v>
      </c>
      <c r="H227" s="34">
        <v>15000</v>
      </c>
      <c r="I227" s="34">
        <v>15000</v>
      </c>
      <c r="J227" s="46"/>
      <c r="K227" s="34">
        <v>23083.91</v>
      </c>
      <c r="S227" s="20" t="str">
        <f t="shared" si="29"/>
        <v>9723.??</v>
      </c>
      <c r="T227" t="str">
        <f t="shared" si="28"/>
        <v>9723</v>
      </c>
    </row>
    <row r="228" spans="1:20" ht="12.75">
      <c r="A228" s="26"/>
      <c r="B228" s="27"/>
      <c r="C228" s="27" t="s">
        <v>392</v>
      </c>
      <c r="D228" s="27"/>
      <c r="E228" s="27"/>
      <c r="F228" s="29" t="s">
        <v>23</v>
      </c>
      <c r="G228" s="30">
        <f>SUMIF($T229:$T$243,$S228,G229:G$243)</f>
        <v>90000</v>
      </c>
      <c r="H228" s="30">
        <f>SUMIF($T229:$T$243,$S228,H229:H$243)</f>
        <v>47000</v>
      </c>
      <c r="I228" s="30">
        <f>SUMIF($T229:$T$243,$S228,I229:I$243)</f>
        <v>47000</v>
      </c>
      <c r="J228" s="30">
        <f>SUMIF($T229:$T$243,$S228,J229:J$243)</f>
        <v>0</v>
      </c>
      <c r="K228" s="30">
        <f>SUMIF($T229:$T$243,$S228,K229:K$243)</f>
        <v>41841</v>
      </c>
      <c r="S228" s="20" t="str">
        <f t="shared" si="29"/>
        <v>974?</v>
      </c>
      <c r="T228" t="str">
        <f aca="true" t="shared" si="30" ref="T228:T237">CONCATENATE(A228,B228,C228,D228,E228,)</f>
        <v>974</v>
      </c>
    </row>
    <row r="229" spans="1:20" ht="12.75">
      <c r="A229" s="42"/>
      <c r="B229" s="43"/>
      <c r="C229" s="43"/>
      <c r="D229" s="43" t="s">
        <v>393</v>
      </c>
      <c r="E229" s="43"/>
      <c r="F229" s="44" t="s">
        <v>394</v>
      </c>
      <c r="G229" s="45">
        <f>SUMIF($T230:$T$243,$S229,G230:G$243)</f>
        <v>0</v>
      </c>
      <c r="H229" s="45">
        <f>SUMIF($T230:$T$243,$S229,H230:H$243)</f>
        <v>0</v>
      </c>
      <c r="I229" s="45">
        <f>SUMIF($T230:$T$243,$S229,I230:I$243)</f>
        <v>0</v>
      </c>
      <c r="J229" s="45">
        <f>SUMIF($T230:$T$243,$S229,J230:J$243)</f>
        <v>0</v>
      </c>
      <c r="K229" s="45">
        <f>SUMIF($T230:$T$243,$S229,K230:K$243)</f>
        <v>0</v>
      </c>
      <c r="S229" s="20" t="str">
        <f t="shared" si="29"/>
        <v>9743.??</v>
      </c>
      <c r="T229" t="str">
        <f t="shared" si="30"/>
        <v>9743</v>
      </c>
    </row>
    <row r="230" spans="1:20" ht="12.75">
      <c r="A230" s="39"/>
      <c r="B230" s="40"/>
      <c r="C230" s="40"/>
      <c r="E230" s="40" t="s">
        <v>393</v>
      </c>
      <c r="F230" s="41" t="s">
        <v>394</v>
      </c>
      <c r="G230" s="34"/>
      <c r="H230" s="34"/>
      <c r="I230" s="34"/>
      <c r="J230" s="46"/>
      <c r="K230" s="34">
        <v>10771</v>
      </c>
      <c r="S230" s="20" t="str">
        <f t="shared" si="29"/>
        <v>9743.??</v>
      </c>
      <c r="T230" t="str">
        <f t="shared" si="30"/>
        <v>9743</v>
      </c>
    </row>
    <row r="231" spans="1:20" ht="12.75">
      <c r="A231" s="42"/>
      <c r="B231" s="43"/>
      <c r="C231" s="43"/>
      <c r="D231" s="43" t="s">
        <v>395</v>
      </c>
      <c r="E231" s="43"/>
      <c r="F231" s="44" t="s">
        <v>396</v>
      </c>
      <c r="G231" s="45">
        <f>SUMIF($T232:$T$243,$S231,G232:G$243)</f>
        <v>0</v>
      </c>
      <c r="H231" s="45">
        <f>SUMIF($T232:$T$243,$S231,H232:H$243)</f>
        <v>0</v>
      </c>
      <c r="I231" s="45">
        <f>SUMIF($T232:$T$243,$S231,I232:I$243)</f>
        <v>0</v>
      </c>
      <c r="J231" s="45">
        <f>SUMIF($T232:$T$243,$S231,J232:J$243)</f>
        <v>0</v>
      </c>
      <c r="K231" s="45">
        <f>SUMIF($T232:$T$243,$S231,K232:K$243)</f>
        <v>0</v>
      </c>
      <c r="S231" s="20" t="str">
        <f t="shared" si="29"/>
        <v>9746.??</v>
      </c>
      <c r="T231" t="str">
        <f t="shared" si="30"/>
        <v>9746</v>
      </c>
    </row>
    <row r="232" spans="1:20" ht="12.75">
      <c r="A232" s="39"/>
      <c r="B232" s="40"/>
      <c r="C232" s="40"/>
      <c r="E232" s="40" t="s">
        <v>395</v>
      </c>
      <c r="F232" s="41" t="s">
        <v>396</v>
      </c>
      <c r="G232" s="34"/>
      <c r="H232" s="34"/>
      <c r="I232" s="34"/>
      <c r="J232" s="46"/>
      <c r="K232" s="34">
        <v>11070</v>
      </c>
      <c r="S232" s="20" t="str">
        <f t="shared" si="29"/>
        <v>9746.??</v>
      </c>
      <c r="T232" t="str">
        <f t="shared" si="30"/>
        <v>9746</v>
      </c>
    </row>
    <row r="233" spans="1:20" ht="12.75">
      <c r="A233" s="42"/>
      <c r="B233" s="43"/>
      <c r="C233" s="43"/>
      <c r="D233" s="43" t="s">
        <v>397</v>
      </c>
      <c r="E233" s="43"/>
      <c r="F233" s="44" t="s">
        <v>398</v>
      </c>
      <c r="G233" s="45">
        <f>SUMIF($T234:$T$243,$S233,G234:G$243)</f>
        <v>0</v>
      </c>
      <c r="H233" s="45">
        <f>SUMIF($T234:$T$243,$S233,H234:H$243)</f>
        <v>0</v>
      </c>
      <c r="I233" s="45">
        <f>SUMIF($T234:$T$243,$S233,I234:I$243)</f>
        <v>0</v>
      </c>
      <c r="J233" s="45">
        <f>SUMIF($T234:$T$243,$S233,J234:J$243)</f>
        <v>0</v>
      </c>
      <c r="K233" s="45">
        <f>SUMIF($T234:$T$243,$S233,K234:K$243)</f>
        <v>0</v>
      </c>
      <c r="S233" s="20" t="str">
        <f t="shared" si="29"/>
        <v>9749.??</v>
      </c>
      <c r="T233" t="str">
        <f t="shared" si="30"/>
        <v>9749</v>
      </c>
    </row>
    <row r="234" spans="1:20" ht="12.75">
      <c r="A234" s="39"/>
      <c r="B234" s="40"/>
      <c r="C234" s="40"/>
      <c r="E234" s="40" t="s">
        <v>397</v>
      </c>
      <c r="F234" s="41" t="s">
        <v>398</v>
      </c>
      <c r="G234" s="34">
        <v>90000</v>
      </c>
      <c r="H234" s="34">
        <v>47000</v>
      </c>
      <c r="I234" s="34">
        <v>47000</v>
      </c>
      <c r="J234" s="46"/>
      <c r="K234" s="34">
        <v>20000</v>
      </c>
      <c r="S234" s="20" t="str">
        <f t="shared" si="29"/>
        <v>9749.??</v>
      </c>
      <c r="T234" t="str">
        <f t="shared" si="30"/>
        <v>9749</v>
      </c>
    </row>
    <row r="235" spans="1:20" ht="12.75">
      <c r="A235" s="26"/>
      <c r="B235" s="27"/>
      <c r="C235" s="27" t="s">
        <v>399</v>
      </c>
      <c r="D235" s="27"/>
      <c r="E235" s="27"/>
      <c r="F235" s="29" t="s">
        <v>400</v>
      </c>
      <c r="G235" s="30">
        <f>SUMIF($T236:$T$243,$S235,G236:G$243)</f>
        <v>0</v>
      </c>
      <c r="H235" s="30">
        <f>SUMIF($T236:$T$243,$S235,H236:H$243)</f>
        <v>30000</v>
      </c>
      <c r="I235" s="30">
        <f>SUMIF($T236:$T$243,$S235,I236:I$243)</f>
        <v>30000</v>
      </c>
      <c r="J235" s="30">
        <f>SUMIF($T236:$T$243,$S235,J236:J$243)</f>
        <v>0</v>
      </c>
      <c r="K235" s="30">
        <f>SUMIF($T236:$T$243,$S235,K236:K$243)</f>
        <v>0</v>
      </c>
      <c r="S235" s="20" t="str">
        <f t="shared" si="29"/>
        <v>976?</v>
      </c>
      <c r="T235" t="str">
        <f t="shared" si="30"/>
        <v>976</v>
      </c>
    </row>
    <row r="236" spans="1:20" ht="12.75">
      <c r="A236" s="42"/>
      <c r="B236" s="43"/>
      <c r="C236" s="43"/>
      <c r="D236" s="43" t="s">
        <v>401</v>
      </c>
      <c r="E236" s="43"/>
      <c r="F236" s="44" t="s">
        <v>402</v>
      </c>
      <c r="G236" s="45">
        <f>SUMIF($T237:$T$243,$S236,G237:G$243)</f>
        <v>0</v>
      </c>
      <c r="H236" s="45">
        <f>SUMIF($T237:$T$243,$S236,H237:H$243)</f>
        <v>0</v>
      </c>
      <c r="I236" s="45">
        <f>SUMIF($T237:$T$243,$S236,I237:I$243)</f>
        <v>0</v>
      </c>
      <c r="J236" s="45">
        <f>SUMIF($T237:$T$243,$S236,J237:J$243)</f>
        <v>0</v>
      </c>
      <c r="K236" s="45">
        <f>SUMIF($T237:$T$243,$S236,K237:K$243)</f>
        <v>0</v>
      </c>
      <c r="S236" s="20" t="str">
        <f t="shared" si="29"/>
        <v>9762.??</v>
      </c>
      <c r="T236" t="str">
        <f t="shared" si="30"/>
        <v>9762</v>
      </c>
    </row>
    <row r="237" spans="1:20" ht="12.75">
      <c r="A237" s="35"/>
      <c r="B237" s="36"/>
      <c r="C237" s="36"/>
      <c r="E237" s="40" t="s">
        <v>401</v>
      </c>
      <c r="F237" s="41" t="s">
        <v>402</v>
      </c>
      <c r="G237" s="34"/>
      <c r="H237" s="34">
        <v>30000</v>
      </c>
      <c r="I237" s="34">
        <v>30000</v>
      </c>
      <c r="J237" s="46"/>
      <c r="K237" s="34"/>
      <c r="S237" s="20" t="str">
        <f t="shared" si="29"/>
        <v>9762.??</v>
      </c>
      <c r="T237" t="str">
        <f t="shared" si="30"/>
        <v>9762</v>
      </c>
    </row>
    <row r="238" spans="1:19" ht="12.75">
      <c r="A238" s="53"/>
      <c r="B238" s="54"/>
      <c r="C238" s="55"/>
      <c r="D238" s="54"/>
      <c r="E238" s="54"/>
      <c r="F238" s="198" t="s">
        <v>39</v>
      </c>
      <c r="G238" s="56"/>
      <c r="H238" s="56"/>
      <c r="I238" s="56"/>
      <c r="J238" s="56"/>
      <c r="K238" s="56"/>
      <c r="S238" s="20">
        <f>IF(LEN(T238)&gt;=6,"",IF(LEN(T238)=0,"",IF(LEN(T238)=4,CONCATENATE(T238,".??"),CONCATENATE(T238,"?"))))</f>
      </c>
    </row>
    <row r="239" spans="1:19" ht="12.75">
      <c r="A239" s="53"/>
      <c r="B239" s="54"/>
      <c r="C239" s="55"/>
      <c r="D239" s="54"/>
      <c r="E239" s="54"/>
      <c r="F239" s="54" t="s">
        <v>40</v>
      </c>
      <c r="G239" s="56">
        <f>G9+G99+G199+G195</f>
        <v>5356000</v>
      </c>
      <c r="H239" s="56">
        <f>H9+H99+H199</f>
        <v>5617500</v>
      </c>
      <c r="I239" s="56">
        <f>I9+I99+I199</f>
        <v>5617500</v>
      </c>
      <c r="J239" s="56">
        <f>J9+J99+J199</f>
        <v>0</v>
      </c>
      <c r="K239" s="56">
        <f>K9+K99+K199</f>
        <v>4270743.169999999</v>
      </c>
      <c r="S239" s="20">
        <f>IF(LEN(T239)&gt;=6,"",IF(LEN(T239)=0,"",IF(LEN(T239)=4,CONCATENATE(T239,".??"),CONCATENATE(T239,"?"))))</f>
      </c>
    </row>
    <row r="240" spans="1:19" ht="12.75">
      <c r="A240" s="53"/>
      <c r="B240" s="54"/>
      <c r="C240" s="55"/>
      <c r="D240" s="54"/>
      <c r="E240" s="54"/>
      <c r="F240" s="54" t="s">
        <v>714</v>
      </c>
      <c r="G240" s="56">
        <f>G206</f>
        <v>184000</v>
      </c>
      <c r="H240" s="56">
        <f>H206</f>
        <v>21500</v>
      </c>
      <c r="I240" s="56">
        <f>I206</f>
        <v>21500</v>
      </c>
      <c r="J240" s="56">
        <f>J206</f>
        <v>0</v>
      </c>
      <c r="K240" s="56">
        <f>K206</f>
        <v>26943.27</v>
      </c>
      <c r="S240" s="20">
        <f>IF(LEN(T240)&gt;=6,"",IF(LEN(T240)=0,"",IF(LEN(T240)=4,CONCATENATE(T240,".??"),CONCATENATE(T240,"?"))))</f>
      </c>
    </row>
    <row r="241" spans="1:19" ht="12.75">
      <c r="A241" s="53"/>
      <c r="B241" s="54"/>
      <c r="C241" s="55"/>
      <c r="D241" s="54"/>
      <c r="E241" s="54"/>
      <c r="F241" s="54" t="s">
        <v>41</v>
      </c>
      <c r="G241" s="56">
        <f>G220</f>
        <v>432000</v>
      </c>
      <c r="H241" s="56">
        <f>H220</f>
        <v>333000</v>
      </c>
      <c r="I241" s="56">
        <f>I220</f>
        <v>333000</v>
      </c>
      <c r="J241" s="56">
        <f>J220</f>
        <v>0</v>
      </c>
      <c r="K241" s="56">
        <f>K220</f>
        <v>524924.91</v>
      </c>
      <c r="S241" s="20">
        <f>IF(LEN(T241)&gt;=6,"",IF(LEN(T241)=0,"",IF(LEN(T241)=4,CONCATENATE(T241,".??"),CONCATENATE(T241,"?"))))</f>
      </c>
    </row>
    <row r="242" spans="1:20" ht="13.5" thickBot="1">
      <c r="A242" s="57" t="s">
        <v>42</v>
      </c>
      <c r="B242" s="58"/>
      <c r="C242" s="59"/>
      <c r="D242" s="58"/>
      <c r="E242" s="58"/>
      <c r="F242" s="58"/>
      <c r="G242" s="60">
        <f>SUM(G239:G241)</f>
        <v>5972000</v>
      </c>
      <c r="H242" s="60">
        <f>SUM(H239:H241)</f>
        <v>5972000</v>
      </c>
      <c r="I242" s="60">
        <f>SUM(I239:I241)</f>
        <v>5972000</v>
      </c>
      <c r="J242" s="60">
        <f>SUMIF($T:$T,"?",J:J)</f>
        <v>0</v>
      </c>
      <c r="K242" s="60">
        <f>SUMIF($T:$T,"?",K:K)</f>
        <v>4822611.349999999</v>
      </c>
      <c r="S242" s="20">
        <f>IF(LEN(T242)&gt;=6,"",IF(LEN(T242)=0,"",IF(LEN(T242)=4,CONCATENATE(T242,".??"),CONCATENATE(T242,"?"))))</f>
      </c>
      <c r="T242" t="str">
        <f>CONCATENATE(A242,B242,C242,D242,E242,)</f>
        <v>ΣΥΝΟΛΑ</v>
      </c>
    </row>
    <row r="243" spans="6:11" ht="12.75">
      <c r="F243" t="s">
        <v>715</v>
      </c>
      <c r="G243" s="61"/>
      <c r="H243" s="61"/>
      <c r="I243" s="61"/>
      <c r="J243" s="4"/>
      <c r="K243" s="85">
        <v>2804109</v>
      </c>
    </row>
    <row r="244" spans="1:11" ht="15.75">
      <c r="A244" s="86"/>
      <c r="B244" s="86"/>
      <c r="C244" s="86"/>
      <c r="D244" s="86"/>
      <c r="E244" s="86"/>
      <c r="F244" s="96" t="s">
        <v>43</v>
      </c>
      <c r="G244" s="97">
        <f>G242+G243</f>
        <v>5972000</v>
      </c>
      <c r="H244" s="97">
        <f>H242+H243</f>
        <v>5972000</v>
      </c>
      <c r="I244" s="97">
        <f>I242+I243</f>
        <v>5972000</v>
      </c>
      <c r="J244" s="97">
        <f>J242+J243</f>
        <v>0</v>
      </c>
      <c r="K244" s="97">
        <f>K242+K243</f>
        <v>7626720.349999999</v>
      </c>
    </row>
    <row r="249" ht="15.75">
      <c r="A249" s="98"/>
    </row>
  </sheetData>
  <sheetProtection/>
  <mergeCells count="2">
    <mergeCell ref="A5:K5"/>
    <mergeCell ref="A7:E7"/>
  </mergeCells>
  <printOptions horizontalCentered="1"/>
  <pageMargins left="0" right="0" top="0.984251968503937" bottom="0.984251968503937" header="0.5118110236220472" footer="0.5118110236220472"/>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M27"/>
  <sheetViews>
    <sheetView zoomScalePageLayoutView="0" workbookViewId="0" topLeftCell="A1">
      <selection activeCell="D26" sqref="D26"/>
    </sheetView>
  </sheetViews>
  <sheetFormatPr defaultColWidth="9.00390625" defaultRowHeight="12.75"/>
  <cols>
    <col min="1" max="1" width="13.75390625" style="136" customWidth="1"/>
    <col min="2" max="2" width="12.625" style="136" customWidth="1"/>
    <col min="3" max="3" width="9.125" style="136" customWidth="1"/>
    <col min="4" max="4" width="18.125" style="136" customWidth="1"/>
    <col min="5" max="5" width="7.00390625" style="136" customWidth="1"/>
    <col min="6" max="6" width="13.125" style="136" bestFit="1" customWidth="1"/>
    <col min="7" max="8" width="9.125" style="136" customWidth="1"/>
    <col min="9" max="9" width="7.25390625" style="136" customWidth="1"/>
    <col min="10" max="10" width="3.375" style="136" hidden="1" customWidth="1"/>
    <col min="11" max="11" width="9.125" style="136" hidden="1" customWidth="1"/>
    <col min="12" max="12" width="8.875" style="136" customWidth="1"/>
    <col min="13" max="13" width="18.125" style="136" customWidth="1"/>
    <col min="14" max="16384" width="9.125" style="136" customWidth="1"/>
  </cols>
  <sheetData>
    <row r="1" spans="1:10" ht="18.75">
      <c r="A1" s="209" t="s">
        <v>108</v>
      </c>
      <c r="B1" s="209"/>
      <c r="C1" s="209"/>
      <c r="D1" s="209"/>
      <c r="E1" s="209"/>
      <c r="F1" s="209"/>
      <c r="G1" s="209"/>
      <c r="H1" s="210"/>
      <c r="I1" s="210"/>
      <c r="J1" s="210"/>
    </row>
    <row r="3" spans="1:10" ht="79.5" customHeight="1">
      <c r="A3" s="211" t="str">
        <f>"Ο παρών προυπολογισμός εσόδων και εξόδων του Κ.Κ.Π. της Περ. Κεντρ. Μακεδονίας συζητήθηκε αναλυτικά από το Διοικητικό Συμβούλιο του Κέντρου κατά την αριθμό 42η / 7-12-2016 συνεδρίαση του και εγκρίθηκε με τα εξής αποτελέσματα"</f>
        <v>Ο παρών προυπολογισμός εσόδων και εξόδων του Κ.Κ.Π. της Περ. Κεντρ. Μακεδονίας συζητήθηκε αναλυτικά από το Διοικητικό Συμβούλιο του Κέντρου κατά την αριθμό 42η / 7-12-2016 συνεδρίαση του και εγκρίθηκε με τα εξής αποτελέσματα</v>
      </c>
      <c r="B3" s="211"/>
      <c r="C3" s="211"/>
      <c r="D3" s="211"/>
      <c r="E3" s="211"/>
      <c r="F3" s="211"/>
      <c r="G3" s="211"/>
      <c r="H3" s="211"/>
      <c r="I3" s="211"/>
      <c r="J3" s="211"/>
    </row>
    <row r="5" spans="2:6" ht="15.75">
      <c r="B5" s="202" t="s">
        <v>109</v>
      </c>
      <c r="C5" s="202"/>
      <c r="D5" s="202"/>
      <c r="E5" s="156" t="s">
        <v>110</v>
      </c>
      <c r="F5" s="194">
        <f>εσοδα!G66</f>
        <v>7876000</v>
      </c>
    </row>
    <row r="6" spans="2:6" ht="15.75">
      <c r="B6" s="202" t="s">
        <v>111</v>
      </c>
      <c r="C6" s="202"/>
      <c r="D6" s="202"/>
      <c r="E6" s="156" t="s">
        <v>110</v>
      </c>
      <c r="F6" s="194">
        <f>εξοδα!G242</f>
        <v>5972000</v>
      </c>
    </row>
    <row r="7" spans="2:6" ht="15.75">
      <c r="B7" s="202" t="s">
        <v>684</v>
      </c>
      <c r="C7" s="202"/>
      <c r="D7" s="202"/>
      <c r="E7" s="156" t="s">
        <v>110</v>
      </c>
      <c r="F7" s="194">
        <v>-196000</v>
      </c>
    </row>
    <row r="8" spans="2:6" ht="15.75">
      <c r="B8" s="202" t="s">
        <v>112</v>
      </c>
      <c r="C8" s="202"/>
      <c r="D8" s="202"/>
      <c r="E8" s="156" t="s">
        <v>110</v>
      </c>
      <c r="F8" s="194">
        <f>F5-F6-F7</f>
        <v>2100000</v>
      </c>
    </row>
    <row r="9" spans="2:6" ht="12.75">
      <c r="B9" s="214"/>
      <c r="C9" s="214"/>
      <c r="D9" s="214"/>
      <c r="E9" s="138"/>
      <c r="F9" s="139"/>
    </row>
    <row r="12" ht="12.75">
      <c r="A12" s="107"/>
    </row>
    <row r="13" spans="1:13" ht="12.75">
      <c r="A13" s="207" t="s">
        <v>649</v>
      </c>
      <c r="B13" s="207"/>
      <c r="C13" s="205" t="s">
        <v>145</v>
      </c>
      <c r="D13" s="205"/>
      <c r="F13" s="205" t="s">
        <v>671</v>
      </c>
      <c r="G13" s="206"/>
      <c r="K13" s="212" t="s">
        <v>650</v>
      </c>
      <c r="L13" s="213"/>
      <c r="M13" s="213"/>
    </row>
    <row r="14" spans="6:13" ht="12.75">
      <c r="F14" s="203" t="s">
        <v>685</v>
      </c>
      <c r="G14" s="204"/>
      <c r="H14" s="204"/>
      <c r="K14" s="206"/>
      <c r="L14" s="206"/>
      <c r="M14" s="206"/>
    </row>
    <row r="15" ht="12.75">
      <c r="F15" s="180" t="s">
        <v>686</v>
      </c>
    </row>
    <row r="16" spans="1:10" ht="12.75">
      <c r="A16" s="180"/>
      <c r="B16" s="123"/>
      <c r="C16" s="123"/>
      <c r="D16" s="180"/>
      <c r="E16" s="123"/>
      <c r="F16" s="180" t="s">
        <v>687</v>
      </c>
      <c r="J16" s="180"/>
    </row>
    <row r="17" spans="1:13" ht="12.75">
      <c r="A17" s="205" t="s">
        <v>643</v>
      </c>
      <c r="B17" s="206"/>
      <c r="C17" s="205" t="s">
        <v>146</v>
      </c>
      <c r="D17" s="205"/>
      <c r="F17" s="203"/>
      <c r="G17" s="204"/>
      <c r="H17" s="204"/>
      <c r="L17" s="205" t="s">
        <v>644</v>
      </c>
      <c r="M17" s="208"/>
    </row>
    <row r="18" ht="12.75">
      <c r="F18" s="158" t="s">
        <v>53</v>
      </c>
    </row>
    <row r="19" spans="6:8" ht="12.75">
      <c r="F19" s="203" t="s">
        <v>645</v>
      </c>
      <c r="G19" s="204"/>
      <c r="H19" s="204"/>
    </row>
    <row r="21" spans="6:8" ht="12.75">
      <c r="F21" s="203" t="s">
        <v>646</v>
      </c>
      <c r="G21" s="204"/>
      <c r="H21" s="204"/>
    </row>
    <row r="24" spans="6:8" ht="12.75">
      <c r="F24" s="203" t="s">
        <v>647</v>
      </c>
      <c r="G24" s="204"/>
      <c r="H24" s="204"/>
    </row>
    <row r="25" spans="6:8" ht="12.75">
      <c r="F25" s="196"/>
      <c r="G25" s="197"/>
      <c r="H25" s="197"/>
    </row>
    <row r="27" spans="6:8" ht="12.75">
      <c r="F27" s="203" t="s">
        <v>669</v>
      </c>
      <c r="G27" s="204"/>
      <c r="H27" s="204"/>
    </row>
  </sheetData>
  <sheetProtection/>
  <mergeCells count="21">
    <mergeCell ref="B9:D9"/>
    <mergeCell ref="A17:B17"/>
    <mergeCell ref="L17:M17"/>
    <mergeCell ref="C13:D13"/>
    <mergeCell ref="K14:M14"/>
    <mergeCell ref="A1:J1"/>
    <mergeCell ref="A3:J3"/>
    <mergeCell ref="B5:D5"/>
    <mergeCell ref="B6:D6"/>
    <mergeCell ref="F14:H14"/>
    <mergeCell ref="K13:M13"/>
    <mergeCell ref="B7:D7"/>
    <mergeCell ref="B8:D8"/>
    <mergeCell ref="F27:H27"/>
    <mergeCell ref="F21:H21"/>
    <mergeCell ref="F13:G13"/>
    <mergeCell ref="C17:D17"/>
    <mergeCell ref="F17:H17"/>
    <mergeCell ref="A13:B13"/>
    <mergeCell ref="F24:H24"/>
    <mergeCell ref="F19:H19"/>
  </mergeCells>
  <printOptions horizontalCentered="1"/>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25"/>
  <sheetViews>
    <sheetView zoomScalePageLayoutView="0" workbookViewId="0" topLeftCell="A187">
      <selection activeCell="C218" sqref="C218"/>
    </sheetView>
  </sheetViews>
  <sheetFormatPr defaultColWidth="9.00390625" defaultRowHeight="12.75"/>
  <cols>
    <col min="1" max="1" width="9.125" style="127" customWidth="1"/>
    <col min="2" max="2" width="4.625" style="127" customWidth="1"/>
    <col min="3" max="3" width="9.875" style="127" customWidth="1"/>
    <col min="4" max="4" width="28.625" style="127" customWidth="1"/>
    <col min="5" max="5" width="22.625" style="127" customWidth="1"/>
    <col min="6" max="7" width="9.125" style="127" customWidth="1"/>
    <col min="8" max="8" width="11.375" style="127" customWidth="1"/>
    <col min="9" max="9" width="38.875" style="127" customWidth="1"/>
    <col min="10" max="10" width="8.625" style="127" hidden="1" customWidth="1"/>
    <col min="11" max="16384" width="9.125" style="127" customWidth="1"/>
  </cols>
  <sheetData>
    <row r="1" spans="1:10" ht="12.75">
      <c r="A1" s="225" t="str">
        <f>"ΕΙΣΗΓΗΤΙΚΗ ΕΚΘΕΣΗ ΠΡΟΥΠΟΛΟΓΙΣΜΟΥ ΟΙΚΟΝΟΜΙΚΟΥ ΕΤΟΥΣ "&amp;ΠΑΡΑΜΕΤΡΟΙ!B3</f>
        <v>ΕΙΣΗΓΗΤΙΚΗ ΕΚΘΕΣΗ ΠΡΟΥΠΟΛΟΓΙΣΜΟΥ ΟΙΚΟΝΟΜΙΚΟΥ ΕΤΟΥΣ 2017</v>
      </c>
      <c r="B1" s="226"/>
      <c r="C1" s="226"/>
      <c r="D1" s="226"/>
      <c r="E1" s="226"/>
      <c r="F1" s="226"/>
      <c r="G1" s="226"/>
      <c r="H1" s="226"/>
      <c r="I1" s="226"/>
      <c r="J1" s="227"/>
    </row>
    <row r="2" spans="1:10" ht="12.75">
      <c r="A2" s="128"/>
      <c r="B2" s="128"/>
      <c r="C2" s="129"/>
      <c r="D2" s="128"/>
      <c r="E2" s="128"/>
      <c r="F2" s="128"/>
      <c r="G2" s="128"/>
      <c r="H2" s="128"/>
      <c r="I2" s="128"/>
      <c r="J2" s="128"/>
    </row>
    <row r="3" spans="1:10" s="130" customFormat="1" ht="12.75">
      <c r="A3" s="228" t="s">
        <v>113</v>
      </c>
      <c r="B3" s="228"/>
      <c r="C3" s="228"/>
      <c r="D3" s="228"/>
      <c r="E3" s="228"/>
      <c r="F3" s="228"/>
      <c r="G3" s="228"/>
      <c r="H3" s="228"/>
      <c r="I3" s="228"/>
      <c r="J3" s="228"/>
    </row>
    <row r="4" spans="1:10" s="133" customFormat="1" ht="12.75">
      <c r="A4" s="131"/>
      <c r="B4" s="132"/>
      <c r="C4" s="131"/>
      <c r="D4" s="131"/>
      <c r="E4" s="131"/>
      <c r="F4" s="131"/>
      <c r="G4" s="131"/>
      <c r="H4" s="131"/>
      <c r="I4" s="131"/>
      <c r="J4" s="131"/>
    </row>
    <row r="5" spans="1:10" s="130" customFormat="1" ht="12.75">
      <c r="A5" s="229" t="str">
        <f>"ΠΡΟΫΠΟΛΟΓΙΣΜΟΥ  ΟΙΚ. ΕΤΟΥΣ "&amp;ΠΑΡΑΜΕΤΡΟΙ!$B$3&amp;" ΤΟΥ"</f>
        <v>ΠΡΟΫΠΟΛΟΓΙΣΜΟΥ  ΟΙΚ. ΕΤΟΥΣ 2017 ΤΟΥ</v>
      </c>
      <c r="B5" s="229"/>
      <c r="C5" s="229"/>
      <c r="D5" s="229"/>
      <c r="E5" s="229"/>
      <c r="F5" s="229"/>
      <c r="G5" s="229"/>
      <c r="H5" s="229"/>
      <c r="I5" s="229"/>
      <c r="J5" s="229"/>
    </row>
    <row r="6" spans="1:10" s="130" customFormat="1" ht="12.75">
      <c r="A6" s="229" t="s">
        <v>648</v>
      </c>
      <c r="B6" s="229"/>
      <c r="C6" s="229"/>
      <c r="D6" s="229"/>
      <c r="E6" s="229"/>
      <c r="F6" s="229"/>
      <c r="G6" s="229"/>
      <c r="H6" s="229"/>
      <c r="I6" s="229"/>
      <c r="J6" s="229"/>
    </row>
    <row r="7" spans="1:10" s="133" customFormat="1" ht="5.25" customHeight="1">
      <c r="A7" s="131"/>
      <c r="B7" s="132"/>
      <c r="C7" s="131"/>
      <c r="D7" s="131"/>
      <c r="E7" s="131"/>
      <c r="F7" s="131"/>
      <c r="G7" s="131"/>
      <c r="H7" s="131"/>
      <c r="I7" s="131"/>
      <c r="J7" s="131"/>
    </row>
    <row r="8" spans="1:10" ht="60" customHeight="1">
      <c r="A8" s="222" t="s">
        <v>702</v>
      </c>
      <c r="B8" s="222"/>
      <c r="C8" s="222"/>
      <c r="D8" s="222"/>
      <c r="E8" s="222"/>
      <c r="F8" s="222"/>
      <c r="G8" s="222"/>
      <c r="H8" s="222"/>
      <c r="I8" s="222"/>
      <c r="J8" s="222"/>
    </row>
    <row r="9" spans="1:10" ht="12.75">
      <c r="A9" s="105"/>
      <c r="B9" s="105"/>
      <c r="C9" s="105"/>
      <c r="D9" s="105"/>
      <c r="E9" s="105"/>
      <c r="F9" s="105"/>
      <c r="G9" s="105"/>
      <c r="H9" s="105"/>
      <c r="I9" s="105"/>
      <c r="J9" s="105"/>
    </row>
    <row r="10" spans="1:10" ht="12.75">
      <c r="A10" s="223" t="s">
        <v>114</v>
      </c>
      <c r="B10" s="223"/>
      <c r="C10" s="223"/>
      <c r="D10" s="223"/>
      <c r="E10" s="223"/>
      <c r="F10" s="223"/>
      <c r="G10" s="223"/>
      <c r="H10" s="223"/>
      <c r="I10" s="223"/>
      <c r="J10" s="104"/>
    </row>
    <row r="11" spans="1:10" ht="12.75">
      <c r="A11" s="104"/>
      <c r="B11" s="104"/>
      <c r="C11" s="104"/>
      <c r="D11" s="104"/>
      <c r="E11" s="104"/>
      <c r="F11" s="104"/>
      <c r="G11" s="104"/>
      <c r="H11" s="104"/>
      <c r="I11" s="104"/>
      <c r="J11" s="104"/>
    </row>
    <row r="12" spans="1:10" ht="12.75">
      <c r="A12" s="224" t="s">
        <v>115</v>
      </c>
      <c r="B12" s="224"/>
      <c r="C12" s="224"/>
      <c r="D12" s="224"/>
      <c r="E12" s="224"/>
      <c r="F12" s="224"/>
      <c r="G12" s="224"/>
      <c r="H12" s="224"/>
      <c r="I12" s="224"/>
      <c r="J12" s="224"/>
    </row>
    <row r="13" spans="1:10" ht="12.75">
      <c r="A13" s="106"/>
      <c r="B13" s="106"/>
      <c r="C13" s="106"/>
      <c r="D13" s="106"/>
      <c r="E13" s="106"/>
      <c r="F13" s="106"/>
      <c r="G13" s="106"/>
      <c r="H13" s="106"/>
      <c r="I13" s="106"/>
      <c r="J13" s="106"/>
    </row>
    <row r="14" spans="1:10" ht="12.75">
      <c r="A14" s="107" t="s">
        <v>116</v>
      </c>
      <c r="B14" s="108"/>
      <c r="C14" s="223"/>
      <c r="D14" s="222"/>
      <c r="E14" s="222"/>
      <c r="F14" s="222"/>
      <c r="G14" s="222"/>
      <c r="H14" s="222"/>
      <c r="I14" s="222"/>
      <c r="J14" s="222"/>
    </row>
    <row r="15" spans="1:10" ht="12.75" hidden="1">
      <c r="A15" s="104"/>
      <c r="B15" s="108"/>
      <c r="C15" s="223"/>
      <c r="D15" s="223"/>
      <c r="E15" s="223"/>
      <c r="F15" s="223"/>
      <c r="G15" s="223"/>
      <c r="H15" s="223"/>
      <c r="I15" s="223"/>
      <c r="J15" s="223"/>
    </row>
    <row r="16" spans="1:10" ht="24.75" customHeight="1">
      <c r="A16" s="104"/>
      <c r="B16" s="108"/>
      <c r="C16" s="231"/>
      <c r="D16" s="231"/>
      <c r="E16" s="231"/>
      <c r="F16" s="231"/>
      <c r="G16" s="231"/>
      <c r="H16" s="231"/>
      <c r="I16" s="231"/>
      <c r="J16" s="231"/>
    </row>
    <row r="17" spans="1:10" ht="12.75">
      <c r="A17" s="104"/>
      <c r="B17" s="108"/>
      <c r="C17" s="109"/>
      <c r="D17" s="109"/>
      <c r="E17" s="109"/>
      <c r="F17" s="109"/>
      <c r="G17" s="109"/>
      <c r="H17" s="109"/>
      <c r="I17" s="109"/>
      <c r="J17" s="109"/>
    </row>
    <row r="18" spans="1:10" ht="12.75" hidden="1">
      <c r="A18" s="110" t="s">
        <v>16</v>
      </c>
      <c r="B18" s="108" t="s">
        <v>117</v>
      </c>
      <c r="C18" s="219" t="str">
        <f>'[2]ΠΑΡΑΜΕΤΡΟΙ'!$B$7&amp;" "&amp;'[2]ΔΕΔΟΜΕΝΑ'!A3&amp;" "&amp;'[2]ΔΕΔΟΜΕΝΑ'!B3</f>
        <v>Στον Κ.Α 0111 Επιχορηγήσεις για δαπάνες μισθοδοσίας προσωπικού</v>
      </c>
      <c r="D18" s="219"/>
      <c r="E18" s="219"/>
      <c r="F18" s="219"/>
      <c r="G18" s="219"/>
      <c r="H18" s="219"/>
      <c r="I18" s="219"/>
      <c r="J18" s="219"/>
    </row>
    <row r="19" spans="1:10" ht="24.75" customHeight="1" hidden="1">
      <c r="A19" s="104"/>
      <c r="B19" s="108"/>
      <c r="C19" s="218" t="str">
        <f>'[2]ΠΑΡΑΜΕΤΡΟΙ'!$B$5&amp;"  15.200,00 € "&amp;'[2]ΔΕΔΟΜΕΝΑ'!G3</f>
        <v>Γράφτηκε πίστωση  15.200,00 €   Η πίστωση αυτή  θα καλύψει τις ανάγκες μισθοδοσίας του Προέδρου του Διοικητικού Συμβουλίου σύμφωνα με το ΦΕΚ 695/6-6-2006.</v>
      </c>
      <c r="D19" s="218"/>
      <c r="E19" s="218"/>
      <c r="F19" s="218"/>
      <c r="G19" s="218"/>
      <c r="H19" s="218"/>
      <c r="I19" s="218"/>
      <c r="J19" s="218"/>
    </row>
    <row r="20" spans="1:10" ht="12.75">
      <c r="A20" s="104">
        <v>1</v>
      </c>
      <c r="B20" s="108" t="s">
        <v>117</v>
      </c>
      <c r="C20" s="219" t="str">
        <f>ΠΑΡΑΜΕΤΡΟΙ!$B$7&amp;" "&amp;ΔΕΔΟΜΕΝΑ!A4&amp;" "&amp;ΔΕΔΟΜΕΝΑ!B4</f>
        <v>Στον Κ.Α 0112 Επιχορηγήσεις για δαπάνες λειτουργίας</v>
      </c>
      <c r="D20" s="219"/>
      <c r="E20" s="219"/>
      <c r="F20" s="219"/>
      <c r="G20" s="219"/>
      <c r="H20" s="219"/>
      <c r="I20" s="219"/>
      <c r="J20" s="219"/>
    </row>
    <row r="21" spans="1:10" ht="24.75" customHeight="1">
      <c r="A21" s="104"/>
      <c r="B21" s="108"/>
      <c r="C21" s="230" t="str">
        <f>ΠΑΡΑΜΕΤΡΟΙ!$B$5&amp;" "&amp;ΔΕΔΟΜΕΝΑ!C4&amp;" € "&amp;ΔΕΔΟΜΕΝΑ!G4</f>
        <v>Γράφτηκε πίστωση 1004000 €  ποσό που προβλέπουμε να εισπράξουμε από την κρατική επιχορήγηση.</v>
      </c>
      <c r="D21" s="230"/>
      <c r="E21" s="230"/>
      <c r="F21" s="230"/>
      <c r="G21" s="230"/>
      <c r="H21" s="230"/>
      <c r="I21" s="230"/>
      <c r="J21" s="230"/>
    </row>
    <row r="22" spans="1:10" ht="12.75" hidden="1">
      <c r="A22" s="104"/>
      <c r="B22" s="108"/>
      <c r="C22" s="219"/>
      <c r="D22" s="219"/>
      <c r="E22" s="219"/>
      <c r="F22" s="219"/>
      <c r="G22" s="219"/>
      <c r="H22" s="219"/>
      <c r="I22" s="219"/>
      <c r="J22" s="219"/>
    </row>
    <row r="23" spans="1:10" ht="12.75" hidden="1">
      <c r="A23" s="104"/>
      <c r="B23" s="108"/>
      <c r="C23" s="218"/>
      <c r="D23" s="218"/>
      <c r="E23" s="218"/>
      <c r="F23" s="218"/>
      <c r="G23" s="218"/>
      <c r="H23" s="218"/>
      <c r="I23" s="218"/>
      <c r="J23" s="218"/>
    </row>
    <row r="24" spans="1:10" ht="12.75" customHeight="1">
      <c r="A24" s="104">
        <v>2</v>
      </c>
      <c r="B24" s="108" t="s">
        <v>117</v>
      </c>
      <c r="C24" s="217" t="str">
        <f>ΠΑΡΑΜΕΤΡΟΙ!$B$7&amp;" "&amp;ΔΕΔΟΜΕΝΑ!A5&amp;" "&amp;ΔΕΔΟΜΕΝΑ!B5</f>
        <v>Στον Κ.Α 3159 Λοιπά έσοδα από προσφορά υπηρεσιών εκπαίδευσης</v>
      </c>
      <c r="D24" s="217"/>
      <c r="E24" s="217"/>
      <c r="F24" s="111"/>
      <c r="G24" s="111"/>
      <c r="H24" s="111"/>
      <c r="I24" s="111"/>
      <c r="J24" s="111"/>
    </row>
    <row r="25" spans="1:10" ht="29.25" customHeight="1">
      <c r="A25" s="104"/>
      <c r="B25" s="108"/>
      <c r="C25" s="218" t="str">
        <f>ΠΑΡΑΜΕΤΡΟΙ!$B$5&amp;" "&amp;ΔΕΔΟΜΕΝΑ!C5&amp;" € "&amp;ΔΕΔΟΜΕΝΑ!G5</f>
        <v>Γράφτηκε πίστωση 110000 €  ποσό που προβλέπουμε ότι θα εισπράξουμε από τον ΟΑΕΔ για την απασχόληση μαθητών ΟΑΕΔ στο Κέντρο (πρακτική άσκηση).  Το έτος 2016 η είσπραξη για 40 περίπου μαθητές κυμάνθηκε στις 109.000 ευρώ.</v>
      </c>
      <c r="D25" s="218"/>
      <c r="E25" s="218"/>
      <c r="F25" s="218"/>
      <c r="G25" s="218"/>
      <c r="H25" s="218"/>
      <c r="I25" s="218"/>
      <c r="J25" s="218"/>
    </row>
    <row r="26" spans="1:10" ht="12.75" customHeight="1">
      <c r="A26" s="104">
        <v>3</v>
      </c>
      <c r="B26" s="108" t="s">
        <v>117</v>
      </c>
      <c r="C26" s="217" t="str">
        <f>ΠΑΡΑΜΕΤΡΟΙ!$B$7&amp;" "&amp;ΔΕΔΟΜΕΝΑ!A6&amp;" "&amp;ΔΕΔΟΜΕΝΑ!B6</f>
        <v>Στον Κ.Α 2122 Καταβολές για εφάπαξ αποζημίωση του Ν. 103/75</v>
      </c>
      <c r="D26" s="217"/>
      <c r="E26" s="217"/>
      <c r="F26" s="217"/>
      <c r="G26" s="217"/>
      <c r="H26" s="217"/>
      <c r="I26" s="217"/>
      <c r="J26" s="217"/>
    </row>
    <row r="27" spans="1:10" ht="24.75" customHeight="1">
      <c r="A27" s="104"/>
      <c r="B27" s="108"/>
      <c r="C27" s="218" t="str">
        <f>ΠΑΡΑΜΕΤΡΟΙ!$B$5&amp;" "&amp;ΔΕΔΟΜΕΝΑ!C6&amp;" € "&amp;ΔΕΔΟΜΕΝΑ!G6</f>
        <v>Γράφτηκε πίστωση 2000 €  που αφορά σε καταβολές υπαλλήλων για εξαγορά χρόνου υπηρεσίας για το εφάπαξ του Ν. 103/75.</v>
      </c>
      <c r="D27" s="218"/>
      <c r="E27" s="218"/>
      <c r="F27" s="218"/>
      <c r="G27" s="218"/>
      <c r="H27" s="218"/>
      <c r="I27" s="218"/>
      <c r="J27" s="218"/>
    </row>
    <row r="28" spans="1:10" ht="12.75" hidden="1">
      <c r="A28" s="104">
        <v>5</v>
      </c>
      <c r="B28" s="108"/>
      <c r="C28" s="217"/>
      <c r="D28" s="218"/>
      <c r="E28" s="218"/>
      <c r="F28" s="218"/>
      <c r="G28" s="218"/>
      <c r="H28" s="218"/>
      <c r="I28" s="111"/>
      <c r="J28" s="111"/>
    </row>
    <row r="29" spans="1:10" ht="12.75" hidden="1">
      <c r="A29" s="104">
        <v>4</v>
      </c>
      <c r="B29" s="108" t="s">
        <v>117</v>
      </c>
      <c r="C29" s="217" t="str">
        <f>ΠΑΡΑΜΕΤΡΟΙ!$B$7&amp;" "&amp;ΔΕΔΟΜΕΝΑ!A7&amp;" "&amp;ΔΕΔΟΜΕΝΑ!B7</f>
        <v>Στον Κ.Α 3113 Νοσήλεια σε ιατρική περίθαλψη (Δημόσιο)</v>
      </c>
      <c r="D29" s="217"/>
      <c r="E29" s="217"/>
      <c r="F29" s="217"/>
      <c r="G29" s="217"/>
      <c r="H29" s="217"/>
      <c r="I29" s="217"/>
      <c r="J29" s="111"/>
    </row>
    <row r="30" spans="1:10" ht="12.75" hidden="1">
      <c r="A30" s="104"/>
      <c r="B30" s="108"/>
      <c r="C30" s="218" t="str">
        <f>ΠΑΡΑΜΕΤΡΟΙ!$B$5&amp;" "&amp;ΔΕΔΟΜΕΝΑ!C7&amp;" € "&amp;ΔΕΔΟΜΕΝΑ!G7</f>
        <v>Γράφτηκε πίστωση  €  Η πίστωση θα εισπραχθεί από το Δημόσιο και θα καλύψει δαπάνες λειτουργίας.</v>
      </c>
      <c r="D30" s="218"/>
      <c r="E30" s="218"/>
      <c r="F30" s="218"/>
      <c r="G30" s="218"/>
      <c r="H30" s="218"/>
      <c r="I30" s="218"/>
      <c r="J30" s="111"/>
    </row>
    <row r="31" spans="1:10" ht="12.75" hidden="1">
      <c r="A31" s="104">
        <v>5</v>
      </c>
      <c r="B31" s="108" t="s">
        <v>117</v>
      </c>
      <c r="C31" s="217" t="str">
        <f>ΠΑΡΑΜΕΤΡΟΙ!$B$7&amp;" "&amp;ΔΕΔΟΜΕΝΑ!A8&amp;" "&amp;ΔΕΔΟΜΕΝΑ!B8</f>
        <v>Στον Κ.Α 3123 Νοσήλεια σε ιατρική περίθαλψη (ΟΓΑ)</v>
      </c>
      <c r="D31" s="217"/>
      <c r="E31" s="217"/>
      <c r="F31" s="217"/>
      <c r="G31" s="217"/>
      <c r="H31" s="217"/>
      <c r="I31" s="217"/>
      <c r="J31" s="111"/>
    </row>
    <row r="32" spans="1:10" ht="12.75" hidden="1">
      <c r="A32" s="104"/>
      <c r="B32" s="108"/>
      <c r="C32" s="218" t="str">
        <f>ΠΑΡΑΜΕΤΡΟΙ!$B$5&amp;" "&amp;ΔΕΔΟΜΕΝΑ!C8&amp;" € "&amp;ΔΕΔΟΜΕΝΑ!G8</f>
        <v>Γράφτηκε πίστωση  €  Η πίστωση θα εισπραχθεί από τον ΟΓΑ και θα καλύψει δαπάνες λειτουργίας.</v>
      </c>
      <c r="D32" s="218"/>
      <c r="E32" s="218"/>
      <c r="F32" s="218"/>
      <c r="G32" s="218"/>
      <c r="H32" s="218"/>
      <c r="I32" s="218"/>
      <c r="J32" s="111"/>
    </row>
    <row r="33" spans="1:10" ht="30" customHeight="1" hidden="1">
      <c r="A33" s="104">
        <v>5</v>
      </c>
      <c r="B33" s="108"/>
      <c r="C33" s="218"/>
      <c r="D33" s="218"/>
      <c r="E33" s="218"/>
      <c r="F33" s="218"/>
      <c r="G33" s="218"/>
      <c r="H33" s="218"/>
      <c r="I33" s="218"/>
      <c r="J33" s="218"/>
    </row>
    <row r="34" spans="1:10" ht="12.75" customHeight="1">
      <c r="A34" s="104">
        <v>4</v>
      </c>
      <c r="B34" s="108" t="s">
        <v>117</v>
      </c>
      <c r="C34" s="217" t="str">
        <f>ΠΑΡΑΜΕΤΡΟΙ!$B$7&amp;" "&amp;ΔΕΔΟΜΕΝΑ!A9&amp;" "&amp;ΔΕΔΟΜΕΝΑ!B9</f>
        <v>Στον Κ.Α 3139 Νοσήλεια από ιατρική περίθαλψη (ΕΟΠΥΥ)</v>
      </c>
      <c r="D34" s="217"/>
      <c r="E34" s="217"/>
      <c r="F34" s="217"/>
      <c r="G34" s="217"/>
      <c r="H34" s="217"/>
      <c r="I34" s="217"/>
      <c r="J34" s="111"/>
    </row>
    <row r="35" spans="1:10" ht="27" customHeight="1">
      <c r="A35" s="104"/>
      <c r="B35" s="108"/>
      <c r="C35" s="218" t="str">
        <f>ΠΑΡΑΜΕΤΡΟΙ!$B$5&amp;" "&amp;ΔΕΔΟΜΕΝΑ!C9&amp;" € "&amp;ΔΕΔΟΜΕΝΑ!G9</f>
        <v>Γράφτηκε πίστωση 4827000 €  Η πίστωση θα εισπραχθεί από τον ΕΟΠΥΥ και θα καλύψει δαπάνες λειτουργίας.  Ας σημειωθεί ότι για κάθε μήνα, ο ΕΟΠΥΥ οφείλει στο Κέντρο μας το ποσό των 400.000 ευρώ περίπου (12χ 400.000 = 4.800.000)</v>
      </c>
      <c r="D35" s="218"/>
      <c r="E35" s="218"/>
      <c r="F35" s="218"/>
      <c r="G35" s="218"/>
      <c r="H35" s="218"/>
      <c r="I35" s="218"/>
      <c r="J35" s="111"/>
    </row>
    <row r="36" spans="1:10" ht="12.75">
      <c r="A36" s="104">
        <v>6</v>
      </c>
      <c r="B36" s="108" t="s">
        <v>117</v>
      </c>
      <c r="C36" s="217" t="str">
        <f>ΠΑΡΑΜΕΤΡΟΙ!$B$7&amp;" "&amp;ΔΕΔΟΜΕΝΑ!A10&amp;" "&amp;ΔΕΔΟΜΕΝΑ!B10</f>
        <v>Στον Κ.Α 3411 Εσοδα από εκμίσθωση ακινήτων γενικά</v>
      </c>
      <c r="D36" s="217"/>
      <c r="E36" s="217"/>
      <c r="F36" s="217"/>
      <c r="G36" s="217"/>
      <c r="H36" s="217"/>
      <c r="I36" s="217"/>
      <c r="J36" s="217"/>
    </row>
    <row r="37" spans="1:10" ht="51" customHeight="1">
      <c r="A37" s="104"/>
      <c r="B37" s="108"/>
      <c r="C37" s="218" t="str">
        <f>ΠΑΡΑΜΕΤΡΟΙ!$B$5&amp;" "&amp;ΔΕΔΟΜΕΝΑ!C10&amp;" € "&amp;ΔΕΔΟΜΕΝΑ!G10</f>
        <v>Γράφτηκε πίστωση 180000 €  Η πίστωση θα εισπραχθεί από την εκμίσθωση των ιδιόκτητων ακινήτων του Κέντρου.  Ήδη το 2016 έχουν εισπραχθεί 176.000 ευρώ λόγω της μεγάλης προσπάθειας του Κέντρου για εύρεση εσόδων. Έχει ενοικιαστεί η πλειονότητα των ακινήτων του Κέντρου και όσα ήταν ήδη ενοικιασμένα, γίνονται συντονισμένες ενέργειες για την έγκαιρη καταβολή των μισθωμάτων ακόμα και μέσω δικηγόρων.</v>
      </c>
      <c r="D37" s="218"/>
      <c r="E37" s="218"/>
      <c r="F37" s="218"/>
      <c r="G37" s="218"/>
      <c r="H37" s="218"/>
      <c r="I37" s="218"/>
      <c r="J37" s="218"/>
    </row>
    <row r="38" spans="1:10" ht="12.75">
      <c r="A38" s="104">
        <v>7</v>
      </c>
      <c r="B38" s="108" t="s">
        <v>117</v>
      </c>
      <c r="C38" s="219" t="str">
        <f>ΠΑΡΑΜΕΤΡΟΙ!$B$7&amp;" "&amp;ΔΕΔΟΜΕΝΑ!A11&amp;" "&amp;ΔΕΔΟΜΕΝΑ!B11</f>
        <v>Στον Κ.Α 1191 Έσοδα από το Κρατικό Λαχείο</v>
      </c>
      <c r="D38" s="219"/>
      <c r="E38" s="219"/>
      <c r="F38" s="219"/>
      <c r="G38" s="219"/>
      <c r="H38" s="219"/>
      <c r="I38" s="219"/>
      <c r="J38" s="219"/>
    </row>
    <row r="39" spans="1:10" ht="15" customHeight="1">
      <c r="A39" s="104"/>
      <c r="B39" s="108"/>
      <c r="C39" s="218" t="str">
        <f>ΠΑΡΑΜΕΤΡΟΙ!$B$5&amp;" "&amp;ΔΕΔΟΜΕΝΑ!C11&amp;" € "&amp;ΔΕΔΟΜΕΝΑ!G11</f>
        <v>Γράφτηκε πίστωση 140000 €  Η πίστωση θα εισπραχθεί από το κρατικό λαχείο (είναι ή ίδια με το περσινό εγκεκριμένο επίπεδο).</v>
      </c>
      <c r="D39" s="218"/>
      <c r="E39" s="218"/>
      <c r="F39" s="218"/>
      <c r="G39" s="218"/>
      <c r="H39" s="218"/>
      <c r="I39" s="218"/>
      <c r="J39" s="218"/>
    </row>
    <row r="40" spans="1:10" ht="12.75">
      <c r="A40" s="104">
        <v>8</v>
      </c>
      <c r="B40" s="108" t="s">
        <v>117</v>
      </c>
      <c r="C40" s="219" t="str">
        <f>ΠΑΡΑΜΕΤΡΟΙ!$B$7&amp;" "&amp;ΔΕΔΟΜΕΝΑ!A12&amp;" "&amp;ΔΕΔΟΜΕΝΑ!B12</f>
        <v>Στον Κ.Α 3511 Τόκοι από καταθέσεις σε τράπεζες</v>
      </c>
      <c r="D40" s="219"/>
      <c r="E40" s="219"/>
      <c r="F40" s="219"/>
      <c r="G40" s="219"/>
      <c r="H40" s="219"/>
      <c r="I40" s="219"/>
      <c r="J40" s="219"/>
    </row>
    <row r="41" spans="1:10" ht="15" customHeight="1">
      <c r="A41" s="104"/>
      <c r="B41" s="108"/>
      <c r="C41" s="218" t="str">
        <f>ΠΑΡΑΜΕΤΡΟΙ!$B$5&amp;" "&amp;ΔΕΔΟΜΕΝΑ!C12&amp;" € "&amp;ΔΕΔΟΜΕΝΑ!G12</f>
        <v>Γράφτηκε πίστωση 30000 €  ποσό που προβλέπουμε να εισπράξουμε από τόκους  και θα καλύψει λειτουργικές δαπάνες.</v>
      </c>
      <c r="D41" s="218"/>
      <c r="E41" s="218"/>
      <c r="F41" s="218"/>
      <c r="G41" s="218"/>
      <c r="H41" s="218"/>
      <c r="I41" s="218"/>
      <c r="J41" s="218"/>
    </row>
    <row r="42" spans="1:10" ht="12.75">
      <c r="A42" s="104">
        <v>9</v>
      </c>
      <c r="B42" s="108" t="s">
        <v>117</v>
      </c>
      <c r="C42" s="219" t="str">
        <f>ΠΑΡΑΜΕΤΡΟΙ!$B$7&amp;" "&amp;ΔΕΔΟΜΕΝΑ!A14&amp;" "&amp;ΔΕΔΟΜΕΝΑ!B14</f>
        <v>Στον Κ.Α 5211 Έσοδα υπέρ Μ.Τ.Π.Υ.</v>
      </c>
      <c r="D42" s="219"/>
      <c r="E42" s="219"/>
      <c r="F42" s="219"/>
      <c r="G42" s="219"/>
      <c r="H42" s="219"/>
      <c r="I42" s="219"/>
      <c r="J42" s="219"/>
    </row>
    <row r="43" spans="1:10" ht="15" customHeight="1">
      <c r="A43" s="104"/>
      <c r="B43" s="108"/>
      <c r="C43" s="218" t="str">
        <f>ΠΑΡΑΜΕΤΡΟΙ!$B$5&amp;" "&amp;ΔΕΔΟΜΕΝΑ!C14&amp;" € "&amp;ΔΕΔΟΜΕΝΑ!G14</f>
        <v>Γράφτηκε πίστωση 5000 €  ποσό που προβλέπουμε να εισπράξουμε από κρατήσεις υπέρ Μ.Τ.Π.Υ. (προμηθευτές) γράφεται αντίστοιχα στα έξοδα.</v>
      </c>
      <c r="D43" s="218"/>
      <c r="E43" s="218"/>
      <c r="F43" s="218"/>
      <c r="G43" s="218"/>
      <c r="H43" s="218"/>
      <c r="I43" s="218"/>
      <c r="J43" s="218"/>
    </row>
    <row r="44" spans="1:10" ht="12.75" customHeight="1">
      <c r="A44" s="104">
        <v>10</v>
      </c>
      <c r="B44" s="108" t="s">
        <v>117</v>
      </c>
      <c r="C44" s="219" t="str">
        <f>ΠΑΡΑΜΕΤΡΟΙ!$B$7&amp;" "&amp;ΔΕΔΟΜΕΝΑ!A16&amp;" "&amp;ΔΕΔΟΜΕΝΑ!B16</f>
        <v>Στον Κ.Α 9333 Έσοδα από επιχορηγήσεις για επενδύσεις</v>
      </c>
      <c r="D44" s="219"/>
      <c r="E44" s="219"/>
      <c r="F44" s="219"/>
      <c r="G44" s="219"/>
      <c r="H44" s="219"/>
      <c r="I44" s="219"/>
      <c r="J44" s="219"/>
    </row>
    <row r="45" spans="1:10" ht="27.75" customHeight="1" hidden="1">
      <c r="A45" s="104">
        <v>17</v>
      </c>
      <c r="B45" s="110"/>
      <c r="C45" s="221" t="str">
        <f>'[2]ΠΑΡΑΜΕΤΡΟΙ'!$B$5&amp;" 7.000,00 € "&amp;'[2]ΔΕΔΟΜΕΝΑ'!G21</f>
        <v>Γράφτηκε πίστωση 7.000,00 €  ποσό που προβλέπουμε να εισπράξουμε από κρατήσεις υπέρ Ι.Κ.Α. από τη μισθοδοσία του προσωπικού, γράφεται αντίστοιχα στα έξοδα.</v>
      </c>
      <c r="D45" s="221"/>
      <c r="E45" s="221"/>
      <c r="F45" s="221"/>
      <c r="G45" s="221"/>
      <c r="H45" s="221"/>
      <c r="I45" s="221"/>
      <c r="J45" s="221"/>
    </row>
    <row r="46" spans="1:10" ht="12.75" customHeight="1" hidden="1">
      <c r="A46" s="104">
        <v>18</v>
      </c>
      <c r="B46" s="110" t="s">
        <v>117</v>
      </c>
      <c r="C46" s="223" t="str">
        <f>'[2]ΠΑΡΑΜΕΤΡΟΙ'!B7&amp;" "&amp;'[2]ΔΕΔΟΜΕΝΑ'!A22&amp;" "&amp;'[2]ΔΕΔΟΜΕΝΑ'!B22</f>
        <v>Στον Κ.Α 5242  ΄Εσοδα υπέρ Τ.Σ.Α.Υ.</v>
      </c>
      <c r="D46" s="223"/>
      <c r="E46" s="223"/>
      <c r="F46" s="223"/>
      <c r="G46" s="223"/>
      <c r="H46" s="112"/>
      <c r="I46" s="112"/>
      <c r="J46" s="112"/>
    </row>
    <row r="47" spans="1:10" ht="15" customHeight="1">
      <c r="A47" s="104"/>
      <c r="B47" s="110"/>
      <c r="C47" s="218" t="str">
        <f>ΠΑΡΑΜΕΤΡΟΙ!$B$5&amp;" "&amp;ΔΕΔΟΜΕΝΑ!C16&amp;" € "&amp;ΔΕΔΟΜΕΝΑ!G16</f>
        <v>Γράφτηκε πίστωση 282000 €  αφορά τους 24ο, 25ο και 26ο λογαριασμούς εργασιών του έργου "Ανέγερση Νέου Γηροκομείου Κιλκίς".</v>
      </c>
      <c r="D47" s="218"/>
      <c r="E47" s="218"/>
      <c r="F47" s="218"/>
      <c r="G47" s="218"/>
      <c r="H47" s="218"/>
      <c r="I47" s="218"/>
      <c r="J47" s="218"/>
    </row>
    <row r="48" spans="1:10" ht="12.75">
      <c r="A48" s="104">
        <v>11</v>
      </c>
      <c r="B48" s="108" t="s">
        <v>117</v>
      </c>
      <c r="C48" s="219" t="str">
        <f>ΠΑΡΑΜΕΤΡΟΙ!$B$7&amp;" "&amp;ΔΕΔΟΜΕΝΑ!A15&amp;" "&amp;ΔΕΔΟΜΕΝΑ!B15</f>
        <v>Στον Κ.Α 5291  ΄Εσοδα υπέρ του Δημοσίου</v>
      </c>
      <c r="D48" s="219"/>
      <c r="E48" s="219"/>
      <c r="F48" s="219"/>
      <c r="G48" s="219"/>
      <c r="H48" s="219"/>
      <c r="I48" s="219"/>
      <c r="J48" s="219"/>
    </row>
    <row r="49" spans="1:10" ht="24.75" customHeight="1">
      <c r="A49" s="104"/>
      <c r="B49" s="108"/>
      <c r="C49" s="218" t="str">
        <f>ΠΑΡΑΜΕΤΡΟΙ!$B$5&amp;" "&amp;ΔΕΔΟΜΕΝΑ!C15&amp;" € "&amp;ΔΕΔΟΜΕΝΑ!G15</f>
        <v>Γράφτηκε πίστωση 160000 €  ποσό που προβλέπουμε να εισπράξουμε από κρατήσεις υπέρ του Δημοσίου, γράφεται αντίστοιχα στα έξοδα.</v>
      </c>
      <c r="D49" s="218"/>
      <c r="E49" s="218"/>
      <c r="F49" s="218"/>
      <c r="G49" s="218"/>
      <c r="H49" s="218"/>
      <c r="I49" s="218"/>
      <c r="J49" s="218"/>
    </row>
    <row r="50" spans="1:10" ht="12.75">
      <c r="A50" s="104">
        <v>12</v>
      </c>
      <c r="B50" s="108" t="s">
        <v>117</v>
      </c>
      <c r="C50" s="219" t="str">
        <f>ΠΑΡΑΜΕΤΡΟΙ!$B$7&amp;" "&amp;ΔΕΔΟΜΕΝΑ!A18&amp;" "&amp;ΔΕΔΟΜΕΝΑ!B18</f>
        <v>Στον Κ.Α 5299 Έσοδα υπέρ λοιπών Ν.Π.Δ.Δ. και αποκεντρωμένων Δημ.Υπηρεσιών.</v>
      </c>
      <c r="D50" s="219"/>
      <c r="E50" s="219"/>
      <c r="F50" s="219"/>
      <c r="G50" s="219"/>
      <c r="H50" s="219"/>
      <c r="I50" s="219"/>
      <c r="J50" s="219"/>
    </row>
    <row r="51" spans="1:10" ht="15" customHeight="1">
      <c r="A51" s="104"/>
      <c r="B51" s="108"/>
      <c r="C51" s="218" t="str">
        <f>ΠΑΡΑΜΕΤΡΟΙ!$B$5&amp;" "&amp;ΔΕΔΟΜΕΝΑ!C18&amp;" € "&amp;ΔΕΔΟΜΕΝΑ!G18</f>
        <v>Γράφτηκε πίστωση 2000 €  ποσό που προβλέπουμε να εισπράξουμε από κρατήσεις υπέρ ΕΑΔΗΣΥ (προμηθευτές) (γράφεται αντίστοιχα στα έξοδα).</v>
      </c>
      <c r="D51" s="218"/>
      <c r="E51" s="218"/>
      <c r="F51" s="218"/>
      <c r="G51" s="218"/>
      <c r="H51" s="218"/>
      <c r="I51" s="218"/>
      <c r="J51" s="218"/>
    </row>
    <row r="52" spans="1:10" ht="12.75">
      <c r="A52" s="104">
        <v>13</v>
      </c>
      <c r="B52" s="108" t="s">
        <v>117</v>
      </c>
      <c r="C52" s="219" t="str">
        <f>ΠΑΡΑΜΕΤΡΟΙ!$B$7&amp;" "&amp;ΔΕΔΟΜΕΝΑ!A20&amp;" "&amp;ΔΕΔΟΜΕΝΑ!B20</f>
        <v>Στον Κ.Α 5411 Προϊόν δωρεάς</v>
      </c>
      <c r="D52" s="219"/>
      <c r="E52" s="219"/>
      <c r="F52" s="219"/>
      <c r="G52" s="219"/>
      <c r="H52" s="219"/>
      <c r="I52" s="219"/>
      <c r="J52" s="219"/>
    </row>
    <row r="53" spans="1:10" ht="51.75" customHeight="1">
      <c r="A53" s="104"/>
      <c r="B53" s="108"/>
      <c r="C53" s="218" t="str">
        <f>ΠΑΡΑΜΕΤΡΟΙ!$B$5&amp;" "&amp;ΔΕΔΟΜΕΝΑ!C20&amp;" € "&amp;ΔΕΔΟΜΕΝΑ!G20</f>
        <v>Γράφτηκε πίστωση 300000 €  ποσό 20.000 ευρώ που προβλέπεται να εισπραχθεί από δωρεές ιδιωτών και θα καλύψει λειτουργικές δαπάνες.  Επίσης προβλέπεται ότι θα εισπραχθεί ποσό 280.000 ευρώ από τις εισφορές σε μορφή δωρεάς των περιθαλπόμενων ως συμμετοχή στις δαπάνες περίθαλψης.   Πολλοί εκ των περιθαλπομένων συνεχίζουν να καταβάλουν εθελοντικά μέρος της σύνταξής τους, που οι ίδιοι επιθυμούν, στο ταμείο του Κέντρου, ώστε να χρησιμοποιηθεί αυτό για την κάλυψη των προσωπικών τους αναγκών.</v>
      </c>
      <c r="D53" s="218"/>
      <c r="E53" s="218"/>
      <c r="F53" s="218"/>
      <c r="G53" s="218"/>
      <c r="H53" s="218"/>
      <c r="I53" s="218"/>
      <c r="J53" s="218"/>
    </row>
    <row r="54" spans="1:10" ht="12.75">
      <c r="A54" s="104">
        <v>14</v>
      </c>
      <c r="B54" s="108" t="s">
        <v>117</v>
      </c>
      <c r="C54" s="219" t="str">
        <f>ΠΑΡΑΜΕΤΡΟΙ!$B$7&amp;" "&amp;ΔΕΔΟΜΕΝΑ!A19&amp;" "&amp;ΔΕΔΟΜΕΝΑ!B19</f>
        <v>Στον Κ.Α 8413 Έσοδα παρελθόντων ετών</v>
      </c>
      <c r="D54" s="219"/>
      <c r="E54" s="219"/>
      <c r="F54" s="219"/>
      <c r="G54" s="219"/>
      <c r="H54" s="219"/>
      <c r="I54" s="219"/>
      <c r="J54" s="219"/>
    </row>
    <row r="55" spans="1:10" ht="15" customHeight="1">
      <c r="A55" s="104"/>
      <c r="B55" s="108"/>
      <c r="C55" s="218" t="str">
        <f>ΠΑΡΑΜΕΤΡΟΙ!$B$5&amp;" "&amp;ΔΕΔΟΜΕΝΑ!C19&amp;" € "&amp;ΔΕΔΟΜΕΝΑ!G19</f>
        <v>Γράφτηκε πίστωση 809000 €  η πίστωση αφορά νοσήλεια από τον ΕΟΠΥΥ παρελθόντων ετών.</v>
      </c>
      <c r="D55" s="218"/>
      <c r="E55" s="218"/>
      <c r="F55" s="218"/>
      <c r="G55" s="218"/>
      <c r="H55" s="218"/>
      <c r="I55" s="218"/>
      <c r="J55" s="218"/>
    </row>
    <row r="56" spans="1:10" ht="12.75">
      <c r="A56" s="104">
        <v>15</v>
      </c>
      <c r="B56" s="108" t="s">
        <v>117</v>
      </c>
      <c r="C56" s="219" t="str">
        <f>ΠΑΡΑΜΕΤΡΟΙ!$B$7&amp;" "&amp;ΔΕΔΟΜΕΝΑ!A22&amp;" "&amp;ΔΕΔΟΜΕΝΑ!B22</f>
        <v>Στον Κ.Α 5689 Λοιπά έσοδα</v>
      </c>
      <c r="D56" s="219"/>
      <c r="E56" s="219"/>
      <c r="F56" s="219"/>
      <c r="G56" s="219"/>
      <c r="H56" s="219"/>
      <c r="I56" s="219"/>
      <c r="J56" s="219"/>
    </row>
    <row r="57" spans="1:10" ht="29.25" customHeight="1">
      <c r="A57" s="104"/>
      <c r="B57" s="108"/>
      <c r="C57" s="218" t="str">
        <f>ΠΑΡΑΜΕΤΡΟΙ!$B$5&amp;" "&amp;ΔΕΔΟΜΕΝΑ!C22&amp;" € "&amp;ΔΕΔΟΜΕΝΑ!G22</f>
        <v>Γράφτηκε πίστωση 25000 €  Η πίστωση θα εισπραχθεί κυρίως από τον ΟΓΑ , ως επιστροφή εξόδων κηδείας των περιθαλπομένων του Κέντρου ή και από άλλες διάφορες πηγές και ήδη το 2016 κυμάνθηκε στο επίπεδο των 25.000 ευρώ.</v>
      </c>
      <c r="D57" s="218"/>
      <c r="E57" s="218"/>
      <c r="F57" s="218"/>
      <c r="G57" s="218"/>
      <c r="H57" s="218"/>
      <c r="I57" s="218"/>
      <c r="J57" s="218"/>
    </row>
    <row r="58" spans="1:10" ht="12.75" hidden="1">
      <c r="A58" s="104">
        <v>19</v>
      </c>
      <c r="B58" s="108" t="s">
        <v>117</v>
      </c>
      <c r="C58" s="217" t="s">
        <v>521</v>
      </c>
      <c r="D58" s="218"/>
      <c r="E58" s="218"/>
      <c r="F58" s="218"/>
      <c r="G58" s="218"/>
      <c r="H58" s="218"/>
      <c r="I58" s="218"/>
      <c r="J58" s="111"/>
    </row>
    <row r="59" spans="1:10" ht="12.75" hidden="1">
      <c r="A59" s="104"/>
      <c r="B59" s="108"/>
      <c r="C59" s="218" t="s">
        <v>522</v>
      </c>
      <c r="D59" s="218"/>
      <c r="E59" s="218"/>
      <c r="F59" s="218"/>
      <c r="G59" s="218"/>
      <c r="H59" s="218"/>
      <c r="I59" s="218"/>
      <c r="J59" s="218"/>
    </row>
    <row r="60" spans="1:10" ht="12.75" hidden="1">
      <c r="A60" s="104"/>
      <c r="B60" s="108"/>
      <c r="C60" s="218"/>
      <c r="D60" s="218"/>
      <c r="E60" s="218"/>
      <c r="F60" s="218"/>
      <c r="G60" s="218"/>
      <c r="H60" s="218"/>
      <c r="I60" s="218"/>
      <c r="J60" s="218"/>
    </row>
    <row r="61" spans="1:10" ht="12.75" hidden="1">
      <c r="A61" s="104">
        <v>20</v>
      </c>
      <c r="B61" s="108" t="s">
        <v>117</v>
      </c>
      <c r="C61" s="217" t="s">
        <v>523</v>
      </c>
      <c r="D61" s="217"/>
      <c r="E61" s="217"/>
      <c r="F61" s="217"/>
      <c r="G61" s="217"/>
      <c r="H61" s="217"/>
      <c r="I61" s="217"/>
      <c r="J61" s="217"/>
    </row>
    <row r="62" spans="1:10" ht="12.75" hidden="1">
      <c r="A62" s="104"/>
      <c r="B62" s="108"/>
      <c r="C62" s="218" t="s">
        <v>524</v>
      </c>
      <c r="D62" s="218"/>
      <c r="E62" s="218"/>
      <c r="F62" s="218"/>
      <c r="G62" s="218"/>
      <c r="H62" s="218"/>
      <c r="I62" s="218"/>
      <c r="J62" s="218"/>
    </row>
    <row r="63" spans="1:10" ht="12.75" hidden="1">
      <c r="A63" s="104"/>
      <c r="B63" s="108"/>
      <c r="C63" s="218"/>
      <c r="D63" s="218"/>
      <c r="E63" s="218"/>
      <c r="F63" s="218"/>
      <c r="G63" s="218"/>
      <c r="H63" s="218"/>
      <c r="I63" s="218"/>
      <c r="J63" s="218"/>
    </row>
    <row r="64" spans="1:10" ht="12.75" hidden="1">
      <c r="A64" s="104"/>
      <c r="B64" s="108"/>
      <c r="C64" s="218"/>
      <c r="D64" s="218"/>
      <c r="E64" s="218"/>
      <c r="F64" s="218"/>
      <c r="G64" s="218"/>
      <c r="H64" s="218"/>
      <c r="I64" s="218"/>
      <c r="J64" s="218"/>
    </row>
    <row r="65" spans="1:10" ht="12.75" hidden="1">
      <c r="A65" s="104"/>
      <c r="B65" s="108"/>
      <c r="C65" s="218"/>
      <c r="D65" s="218"/>
      <c r="E65" s="218"/>
      <c r="F65" s="218"/>
      <c r="G65" s="218"/>
      <c r="H65" s="218"/>
      <c r="I65" s="218"/>
      <c r="J65" s="218"/>
    </row>
    <row r="66" spans="1:10" ht="12.75">
      <c r="A66" s="104"/>
      <c r="B66" s="108"/>
      <c r="C66" s="104"/>
      <c r="D66" s="104"/>
      <c r="E66" s="113" t="s">
        <v>525</v>
      </c>
      <c r="F66" s="232">
        <f>εσοδα!G66</f>
        <v>7876000</v>
      </c>
      <c r="G66" s="232"/>
      <c r="H66" s="232"/>
      <c r="I66" s="232"/>
      <c r="J66" s="104"/>
    </row>
    <row r="67" spans="1:10" ht="12.75">
      <c r="A67" s="104"/>
      <c r="B67" s="108"/>
      <c r="C67" s="104"/>
      <c r="D67" s="207"/>
      <c r="E67" s="233"/>
      <c r="F67" s="232"/>
      <c r="G67" s="219"/>
      <c r="H67" s="219"/>
      <c r="I67" s="219"/>
      <c r="J67" s="104"/>
    </row>
    <row r="69" spans="1:17" ht="12.75">
      <c r="A69" s="224" t="s">
        <v>526</v>
      </c>
      <c r="B69" s="224"/>
      <c r="C69" s="224"/>
      <c r="D69" s="224"/>
      <c r="E69" s="224"/>
      <c r="F69" s="224"/>
      <c r="G69" s="224"/>
      <c r="H69" s="224"/>
      <c r="I69" s="224"/>
      <c r="J69" s="224"/>
      <c r="K69" s="104"/>
      <c r="L69" s="104"/>
      <c r="M69" s="104"/>
      <c r="N69" s="104"/>
      <c r="O69" s="104"/>
      <c r="P69" s="104"/>
      <c r="Q69" s="104"/>
    </row>
    <row r="70" spans="1:17" ht="12.75">
      <c r="A70" s="107" t="s">
        <v>637</v>
      </c>
      <c r="B70" s="108"/>
      <c r="C70" s="107" t="s">
        <v>527</v>
      </c>
      <c r="D70" s="104"/>
      <c r="E70" s="104"/>
      <c r="F70" s="104"/>
      <c r="G70" s="104"/>
      <c r="H70" s="104"/>
      <c r="I70" s="104"/>
      <c r="J70" s="104"/>
      <c r="K70" s="104"/>
      <c r="L70" s="104"/>
      <c r="M70" s="104"/>
      <c r="N70" s="104"/>
      <c r="O70" s="104"/>
      <c r="P70" s="104"/>
      <c r="Q70" s="104"/>
    </row>
    <row r="71" spans="1:17" ht="12.75" hidden="1">
      <c r="A71" s="104">
        <v>1</v>
      </c>
      <c r="B71" s="108" t="s">
        <v>117</v>
      </c>
      <c r="C71" s="219" t="e">
        <f>ΠΑΡΑΜΕΤΡΟΙ!B7&amp;" "&amp;ΔΕΔΟΜΕΝΑ!#REF!&amp;" "&amp;ΔΕΔΟΜΕΝΑ!#REF!</f>
        <v>#REF!</v>
      </c>
      <c r="D71" s="219"/>
      <c r="E71" s="219"/>
      <c r="F71" s="219"/>
      <c r="G71" s="219"/>
      <c r="H71" s="219"/>
      <c r="I71" s="219"/>
      <c r="J71" s="219"/>
      <c r="K71" s="104"/>
      <c r="L71" s="104"/>
      <c r="M71" s="104"/>
      <c r="N71" s="104"/>
      <c r="O71" s="104"/>
      <c r="P71" s="104"/>
      <c r="Q71" s="104"/>
    </row>
    <row r="72" spans="1:17" s="134" customFormat="1" ht="15" customHeight="1" hidden="1">
      <c r="A72" s="107"/>
      <c r="B72" s="108"/>
      <c r="C72" s="220" t="e">
        <f>ΠΑΡΑΜΕΤΡΟΙ!$B$5&amp;" "&amp;ΔΕΔΟΜΕΝΑ!#REF!&amp;" € "&amp;ΔΕΔΟΜΕΝΑ!#REF!</f>
        <v>#REF!</v>
      </c>
      <c r="D72" s="220"/>
      <c r="E72" s="220"/>
      <c r="F72" s="220"/>
      <c r="G72" s="220"/>
      <c r="H72" s="220"/>
      <c r="I72" s="220"/>
      <c r="J72" s="220"/>
      <c r="K72" s="104"/>
      <c r="L72" s="104"/>
      <c r="M72" s="104"/>
      <c r="N72" s="104"/>
      <c r="O72" s="104"/>
      <c r="P72" s="104"/>
      <c r="Q72" s="104"/>
    </row>
    <row r="73" spans="1:17" s="134" customFormat="1" ht="12.75" hidden="1">
      <c r="A73" s="104">
        <v>2</v>
      </c>
      <c r="B73" s="108" t="s">
        <v>117</v>
      </c>
      <c r="C73" s="219" t="e">
        <f>ΠΑΡΑΜΕΤΡΟΙ!B7&amp;" "&amp;ΔΕΔΟΜΕΝΑ!#REF!&amp;" "&amp;ΔΕΔΟΜΕΝΑ!#REF!</f>
        <v>#REF!</v>
      </c>
      <c r="D73" s="219"/>
      <c r="E73" s="219"/>
      <c r="F73" s="219"/>
      <c r="G73" s="219"/>
      <c r="H73" s="219"/>
      <c r="I73" s="219"/>
      <c r="J73" s="219"/>
      <c r="K73" s="104"/>
      <c r="L73" s="104"/>
      <c r="M73" s="104"/>
      <c r="N73" s="104"/>
      <c r="O73" s="104"/>
      <c r="P73" s="104"/>
      <c r="Q73" s="104"/>
    </row>
    <row r="74" spans="1:17" ht="15" customHeight="1" hidden="1">
      <c r="A74" s="107"/>
      <c r="B74" s="108"/>
      <c r="C74" s="220" t="e">
        <f>ΠΑΡΑΜΕΤΡΟΙ!$B$5&amp;" "&amp;ΔΕΔΟΜΕΝΑ!#REF!&amp;" € "&amp;ΔΕΔΟΜΕΝΑ!#REF!</f>
        <v>#REF!</v>
      </c>
      <c r="D74" s="220"/>
      <c r="E74" s="220"/>
      <c r="F74" s="220"/>
      <c r="G74" s="220"/>
      <c r="H74" s="220"/>
      <c r="I74" s="220"/>
      <c r="J74" s="220"/>
      <c r="K74" s="104"/>
      <c r="L74" s="104"/>
      <c r="M74" s="104"/>
      <c r="N74" s="104"/>
      <c r="O74" s="104"/>
      <c r="P74" s="104"/>
      <c r="Q74" s="104"/>
    </row>
    <row r="75" spans="1:17" ht="12.75" hidden="1">
      <c r="A75" s="104">
        <v>3</v>
      </c>
      <c r="B75" s="108" t="s">
        <v>117</v>
      </c>
      <c r="C75" s="219" t="e">
        <f>ΠΑΡΑΜΕΤΡΟΙ!B7&amp;" "&amp;ΔΕΔΟΜΕΝΑ!#REF!&amp;" "&amp;ΔΕΔΟΜΕΝΑ!#REF!</f>
        <v>#REF!</v>
      </c>
      <c r="D75" s="219"/>
      <c r="E75" s="219"/>
      <c r="F75" s="219"/>
      <c r="G75" s="219"/>
      <c r="H75" s="219"/>
      <c r="I75" s="219"/>
      <c r="J75" s="219"/>
      <c r="K75" s="104"/>
      <c r="L75" s="104"/>
      <c r="M75" s="104"/>
      <c r="N75" s="104"/>
      <c r="O75" s="104"/>
      <c r="P75" s="104"/>
      <c r="Q75" s="104"/>
    </row>
    <row r="76" spans="1:17" ht="15" customHeight="1" hidden="1">
      <c r="A76" s="107"/>
      <c r="B76" s="108"/>
      <c r="C76" s="220" t="e">
        <f>ΠΑΡΑΜΕΤΡΟΙ!$B$5&amp;" "&amp;ΔΕΔΟΜΕΝΑ!#REF!&amp;" € "&amp;ΔΕΔΟΜΕΝΑ!#REF!</f>
        <v>#REF!</v>
      </c>
      <c r="D76" s="220"/>
      <c r="E76" s="220"/>
      <c r="F76" s="220"/>
      <c r="G76" s="220"/>
      <c r="H76" s="220"/>
      <c r="I76" s="220"/>
      <c r="J76" s="220"/>
      <c r="K76" s="104"/>
      <c r="L76" s="104"/>
      <c r="M76" s="104"/>
      <c r="N76" s="104"/>
      <c r="O76" s="104"/>
      <c r="P76" s="104"/>
      <c r="Q76" s="104"/>
    </row>
    <row r="77" spans="1:17" ht="11.25" customHeight="1" hidden="1">
      <c r="A77" s="104">
        <v>4</v>
      </c>
      <c r="B77" s="108" t="s">
        <v>117</v>
      </c>
      <c r="C77" s="219" t="e">
        <f>ΠΑΡΑΜΕΤΡΟΙ!B7&amp;" "&amp;ΔΕΔΟΜΕΝΑ!#REF!&amp;" "&amp;ΔΕΔΟΜΕΝΑ!#REF!</f>
        <v>#REF!</v>
      </c>
      <c r="D77" s="219"/>
      <c r="E77" s="219"/>
      <c r="F77" s="219"/>
      <c r="G77" s="219"/>
      <c r="H77" s="219"/>
      <c r="I77" s="219"/>
      <c r="J77" s="219"/>
      <c r="K77" s="104"/>
      <c r="L77" s="104"/>
      <c r="M77" s="104"/>
      <c r="N77" s="104"/>
      <c r="O77" s="104"/>
      <c r="P77" s="104"/>
      <c r="Q77" s="104"/>
    </row>
    <row r="78" spans="1:17" ht="15" customHeight="1" hidden="1">
      <c r="A78" s="107"/>
      <c r="B78" s="108"/>
      <c r="C78" s="220" t="e">
        <f>ΠΑΡΑΜΕΤΡΟΙ!$B$5&amp;" "&amp;ΔΕΔΟΜΕΝΑ!#REF!&amp;" € "&amp;ΔΕΔΟΜΕΝΑ!#REF!</f>
        <v>#REF!</v>
      </c>
      <c r="D78" s="220"/>
      <c r="E78" s="220"/>
      <c r="F78" s="220"/>
      <c r="G78" s="220"/>
      <c r="H78" s="220"/>
      <c r="I78" s="220"/>
      <c r="J78" s="220"/>
      <c r="K78" s="104"/>
      <c r="L78" s="104"/>
      <c r="M78" s="104"/>
      <c r="N78" s="104"/>
      <c r="O78" s="104"/>
      <c r="P78" s="104"/>
      <c r="Q78" s="104"/>
    </row>
    <row r="79" spans="1:17" ht="15" customHeight="1">
      <c r="A79" s="107"/>
      <c r="B79" s="108"/>
      <c r="C79" s="108"/>
      <c r="D79" s="108"/>
      <c r="E79" s="108"/>
      <c r="F79" s="108"/>
      <c r="G79" s="108"/>
      <c r="H79" s="108"/>
      <c r="I79" s="108"/>
      <c r="J79" s="108"/>
      <c r="K79" s="104"/>
      <c r="L79" s="104"/>
      <c r="M79" s="104"/>
      <c r="N79" s="104"/>
      <c r="O79" s="104"/>
      <c r="P79" s="104"/>
      <c r="Q79" s="104"/>
    </row>
    <row r="80" spans="1:17" ht="12.75">
      <c r="A80" s="115">
        <v>1</v>
      </c>
      <c r="B80" s="108" t="s">
        <v>117</v>
      </c>
      <c r="C80" s="237" t="str">
        <f>ΠΑΡΑΜΕΤΡΟΙ!B7&amp;" "&amp;ΔΕΔΟΜΕΝΑ!A27&amp;" "&amp;ΔΕΔΟΜΕΝΑ!B27</f>
        <v>Στον Κ.Α 0212-0219 Βασικός μισθός εκτάκτων</v>
      </c>
      <c r="D80" s="237"/>
      <c r="E80" s="237"/>
      <c r="F80" s="237"/>
      <c r="G80" s="237"/>
      <c r="H80" s="237"/>
      <c r="I80" s="237"/>
      <c r="J80" s="237"/>
      <c r="K80" s="104"/>
      <c r="L80" s="104"/>
      <c r="M80" s="104"/>
      <c r="N80" s="104"/>
      <c r="O80" s="104"/>
      <c r="P80" s="104"/>
      <c r="Q80" s="104"/>
    </row>
    <row r="81" spans="1:17" ht="15" customHeight="1">
      <c r="A81" s="104"/>
      <c r="B81" s="108"/>
      <c r="C81" s="221" t="str">
        <f>ΠΑΡΑΜΕΤΡΟΙ!$B$5&amp;" "&amp;ΔΕΔΟΜΕΝΑ!C27&amp;" € "&amp;ΔΕΔΟΜΕΝΑ!G27</f>
        <v>Γράφτηκε πίστωση 450000 €  για αμοιβή 40 ατόμων επικουρικού προσωπικού καθώς και αμοιβή μαθητών ΟΑΕΔ - σπουδαστών ΤΕΙ.</v>
      </c>
      <c r="D81" s="221"/>
      <c r="E81" s="221"/>
      <c r="F81" s="221"/>
      <c r="G81" s="221"/>
      <c r="H81" s="221"/>
      <c r="I81" s="221"/>
      <c r="J81" s="221"/>
      <c r="K81" s="104"/>
      <c r="L81" s="104"/>
      <c r="M81" s="104"/>
      <c r="N81" s="104"/>
      <c r="O81" s="104"/>
      <c r="P81" s="104"/>
      <c r="Q81" s="104"/>
    </row>
    <row r="82" spans="1:17" ht="12.75" hidden="1">
      <c r="A82" s="116" t="s">
        <v>618</v>
      </c>
      <c r="B82" s="111" t="s">
        <v>117</v>
      </c>
      <c r="C82" s="223" t="e">
        <f>ΠΑΡΑΜΕΤΡΟΙ!B7&amp;" "&amp;ΔΕΔΟΜΕΝΑ!#REF!&amp;" "&amp;ΔΕΔΟΜΕΝΑ!#REF!</f>
        <v>#REF!</v>
      </c>
      <c r="D82" s="223"/>
      <c r="E82" s="223"/>
      <c r="F82" s="223"/>
      <c r="G82" s="223"/>
      <c r="H82" s="223"/>
      <c r="I82" s="223"/>
      <c r="J82" s="223"/>
      <c r="K82" s="104"/>
      <c r="L82" s="104"/>
      <c r="M82" s="104"/>
      <c r="N82" s="104"/>
      <c r="O82" s="104"/>
      <c r="P82" s="104"/>
      <c r="Q82" s="104"/>
    </row>
    <row r="83" spans="1:17" ht="15" customHeight="1" hidden="1">
      <c r="A83" s="115"/>
      <c r="B83" s="108"/>
      <c r="C83" s="218" t="e">
        <f>ΠΑΡΑΜΕΤΡΟΙ!$B$5&amp;" "&amp;ΔΕΔΟΜΕΝΑ!#REF!&amp;" € "&amp;ΔΕΔΟΜΕΝΑ!#REF!</f>
        <v>#REF!</v>
      </c>
      <c r="D83" s="218"/>
      <c r="E83" s="218"/>
      <c r="F83" s="218"/>
      <c r="G83" s="218"/>
      <c r="H83" s="218"/>
      <c r="I83" s="218"/>
      <c r="J83" s="218"/>
      <c r="K83" s="104"/>
      <c r="L83" s="104"/>
      <c r="M83" s="104"/>
      <c r="N83" s="104"/>
      <c r="O83" s="104"/>
      <c r="P83" s="104"/>
      <c r="Q83" s="104"/>
    </row>
    <row r="84" spans="1:17" ht="12.75">
      <c r="A84" s="115">
        <v>2</v>
      </c>
      <c r="B84" s="108" t="s">
        <v>117</v>
      </c>
      <c r="C84" s="217" t="str">
        <f>ΠΑΡΑΜΕΤΡΟΙ!B7&amp;" "&amp;ΔΕΔΟΜΕΝΑ!A29&amp;" "&amp;ΔΕΔΟΜΕΝΑ!B29</f>
        <v>Στον Κ.Α 0289 Διάφορες αποζημιώσεις που δεν κατονομάζονται ειδικά</v>
      </c>
      <c r="D84" s="217"/>
      <c r="E84" s="217"/>
      <c r="F84" s="217"/>
      <c r="G84" s="217"/>
      <c r="H84" s="217"/>
      <c r="I84" s="217"/>
      <c r="J84" s="217"/>
      <c r="K84" s="104"/>
      <c r="L84" s="104"/>
      <c r="M84" s="104"/>
      <c r="N84" s="104"/>
      <c r="O84" s="104"/>
      <c r="P84" s="104"/>
      <c r="Q84" s="104"/>
    </row>
    <row r="85" spans="1:17" ht="15" customHeight="1">
      <c r="A85" s="117"/>
      <c r="B85" s="105"/>
      <c r="C85" s="218" t="str">
        <f>ΠΑΡΑΜΕΤΡΟΙ!$B$5&amp;" "&amp;ΔΕΔΟΜΕΝΑ!C29&amp;" € "&amp;ΔΕΔΟΜΕΝΑ!G29</f>
        <v>Γράφτηκε πίστωση 15000 €  για αποζημιώσεις των μελών του Δ.Σ.</v>
      </c>
      <c r="D85" s="218"/>
      <c r="E85" s="218"/>
      <c r="F85" s="218"/>
      <c r="G85" s="218"/>
      <c r="H85" s="218"/>
      <c r="I85" s="218"/>
      <c r="J85" s="218"/>
      <c r="K85" s="112"/>
      <c r="L85" s="112"/>
      <c r="M85" s="112"/>
      <c r="N85" s="112"/>
      <c r="O85" s="112"/>
      <c r="P85" s="112"/>
      <c r="Q85" s="112"/>
    </row>
    <row r="86" spans="1:17" ht="14.25" customHeight="1">
      <c r="A86" s="117">
        <v>3</v>
      </c>
      <c r="B86" s="105" t="s">
        <v>117</v>
      </c>
      <c r="C86" s="217" t="str">
        <f>ΠΑΡΑΜΕΤΡΟΙ!B7&amp;" "&amp;ΔΕΔΟΜΕΝΑ!A31&amp;" "&amp;ΔΕΔΟΜΕΝΑ!B31</f>
        <v>Στον Κ.Α 0411 Αμοιβές νομικών που εκτελούν ειδικές υπηρεσίες με την ιδιότητα ελεύθερου επαγγελματία</v>
      </c>
      <c r="D86" s="217"/>
      <c r="E86" s="217"/>
      <c r="F86" s="217"/>
      <c r="G86" s="217"/>
      <c r="H86" s="217"/>
      <c r="I86" s="217"/>
      <c r="J86" s="217"/>
      <c r="K86" s="112"/>
      <c r="L86" s="112"/>
      <c r="M86" s="112"/>
      <c r="N86" s="112"/>
      <c r="O86" s="112"/>
      <c r="P86" s="112"/>
      <c r="Q86" s="112"/>
    </row>
    <row r="87" spans="1:17" ht="15" customHeight="1">
      <c r="A87" s="117"/>
      <c r="B87" s="105"/>
      <c r="C87" s="221" t="str">
        <f>ΠΑΡΑΜΕΤΡΟΙ!$B$5&amp;" "&amp;ΔΕΔΟΜΕΝΑ!C31&amp;" € "&amp;ΔΕΔΟΜΕΝΑ!G31</f>
        <v>Γράφτηκε πίστωση 30000 €  ως αμοιβές για νομική εκπροσώπηση του ιδρύματος σε ήδη εκκρεμείς δικαστικές υποθέσεις αλλά και σε τυχόν νέες που θα προκύψουν.</v>
      </c>
      <c r="D87" s="221"/>
      <c r="E87" s="221"/>
      <c r="F87" s="221"/>
      <c r="G87" s="221"/>
      <c r="H87" s="221"/>
      <c r="I87" s="221"/>
      <c r="J87" s="221"/>
      <c r="K87" s="112"/>
      <c r="L87" s="112"/>
      <c r="M87" s="112"/>
      <c r="N87" s="112"/>
      <c r="O87" s="112"/>
      <c r="P87" s="112"/>
      <c r="Q87" s="112"/>
    </row>
    <row r="88" spans="1:17" ht="15" customHeight="1">
      <c r="A88" s="117">
        <v>4</v>
      </c>
      <c r="B88" s="105" t="s">
        <v>117</v>
      </c>
      <c r="C88" s="223" t="str">
        <f>ΠΑΡΑΜΕΤΡΟΙ!$B$7&amp;" "&amp;ΔΕΔΟΜΕΝΑ!A32&amp;" "&amp;ΔΕΔΟΜΕΝΑ!B32</f>
        <v>Στον Κ.Α 0412 Αμοιβές τεχνικών που εκτελούν ειδικές υπηρεσίες με την ιδιότητα του ελεύθερου επαγγελματία</v>
      </c>
      <c r="D88" s="223"/>
      <c r="E88" s="223"/>
      <c r="F88" s="223"/>
      <c r="G88" s="223"/>
      <c r="H88" s="223"/>
      <c r="I88" s="223"/>
      <c r="J88" s="112"/>
      <c r="K88" s="112"/>
      <c r="L88" s="112"/>
      <c r="M88" s="112"/>
      <c r="N88" s="112"/>
      <c r="O88" s="112"/>
      <c r="P88" s="112"/>
      <c r="Q88" s="112"/>
    </row>
    <row r="89" spans="1:17" ht="15" customHeight="1">
      <c r="A89" s="117"/>
      <c r="B89" s="105"/>
      <c r="C89" s="222" t="str">
        <f>ΠΑΡΑΜΕΤΡΟΙ!$B$5&amp;" "&amp;ΔΕΔΟΜΕΝΑ!C32&amp;" € "&amp;ΔΕΔΟΜΕΝΑ!G32</f>
        <v>Γράφτηκε πίστωση 115000 €  για εργασίες διαφόρων ειδικοτήτων τεχνικών για την εκτέλεση κάποιου έργου στο Κέντρο.</v>
      </c>
      <c r="D89" s="222"/>
      <c r="E89" s="222"/>
      <c r="F89" s="222"/>
      <c r="G89" s="222"/>
      <c r="H89" s="222"/>
      <c r="I89" s="222"/>
      <c r="J89" s="112"/>
      <c r="K89" s="112"/>
      <c r="L89" s="112"/>
      <c r="M89" s="112"/>
      <c r="N89" s="112"/>
      <c r="O89" s="112"/>
      <c r="P89" s="112"/>
      <c r="Q89" s="112"/>
    </row>
    <row r="90" spans="1:17" ht="12.75">
      <c r="A90" s="115">
        <v>5</v>
      </c>
      <c r="B90" s="108" t="s">
        <v>117</v>
      </c>
      <c r="C90" s="219" t="str">
        <f>ΠΑΡΑΜΕΤΡΟΙ!B7&amp;" "&amp;ΔΕΔΟΜΕΝΑ!A33&amp;" "&amp;ΔΕΔΟΜΕΝΑ!B33</f>
        <v>Στον Κ.Α 0413 Αμοιβές υγειονομ. που εκτελούν ειδικές υπηρεσίες με την ιδιότητα του ελεύθερου επαγγελματία</v>
      </c>
      <c r="D90" s="219"/>
      <c r="E90" s="219"/>
      <c r="F90" s="219"/>
      <c r="G90" s="219"/>
      <c r="H90" s="219"/>
      <c r="I90" s="219"/>
      <c r="J90" s="219"/>
      <c r="K90" s="104"/>
      <c r="L90" s="104"/>
      <c r="M90" s="104"/>
      <c r="N90" s="104"/>
      <c r="O90" s="104"/>
      <c r="P90" s="104"/>
      <c r="Q90" s="104"/>
    </row>
    <row r="91" spans="1:17" ht="42.75" customHeight="1">
      <c r="A91" s="115"/>
      <c r="B91" s="108"/>
      <c r="C91" s="218" t="str">
        <f>ΠΑΡΑΜΕΤΡΟΙ!$B$5&amp;" "&amp;ΔΕΔΟΜΕΝΑ!C33&amp;" € "&amp;ΔΕΔΟΜΕΝΑ!G33</f>
        <v>Γράφτηκε πίστωση 150000 €  για πληρωμή ιατρών διαφόρων ειδικοτήτων που απασχολούνται στο Κέντρο, διότι το Κέντρο δεν διαθέτει καθόλου μόνιμους ιατρούς, οπότε αναγκάζεται να απασχολεί ιατρούς με αμοιβή κατ' επίσκεψη δημοσίου, και ειδικώτερα 20 ιατρούς διαφόρων ειδικοτήτων (παιδίατρος, παιδοψυχίατρος, παθολόγοι, νευρολόγοι, οδοντίατροι, ορθοπεδικός, καρδιολόγος, ουρολόγοι, ψυχίατροι, κλπ.</v>
      </c>
      <c r="D91" s="218"/>
      <c r="E91" s="218"/>
      <c r="F91" s="218"/>
      <c r="G91" s="218"/>
      <c r="H91" s="218"/>
      <c r="I91" s="218"/>
      <c r="J91" s="218"/>
      <c r="K91" s="104"/>
      <c r="L91" s="104"/>
      <c r="M91" s="104"/>
      <c r="N91" s="104"/>
      <c r="O91" s="104"/>
      <c r="P91" s="104"/>
      <c r="Q91" s="104"/>
    </row>
    <row r="92" spans="1:17" ht="12.75">
      <c r="A92" s="116">
        <v>6</v>
      </c>
      <c r="B92" s="111" t="s">
        <v>117</v>
      </c>
      <c r="C92" s="217" t="str">
        <f>ΠΑΡΑΜΕΤΡΟΙ!B7&amp;" "&amp;ΔΕΔΟΜΕΝΑ!A34&amp;" "&amp;ΔΕΔΟΜΕΝΑ!B34</f>
        <v>Στον Κ.Α 0419 Αμοιβές λοιπών που εκτελούν ειδικές υπηρεσίες με την ιδιότητα του ελεύθερου επαγγελματία</v>
      </c>
      <c r="D92" s="217"/>
      <c r="E92" s="217"/>
      <c r="F92" s="217"/>
      <c r="G92" s="217"/>
      <c r="H92" s="217"/>
      <c r="I92" s="217"/>
      <c r="J92" s="217"/>
      <c r="K92" s="104"/>
      <c r="L92" s="104"/>
      <c r="M92" s="104"/>
      <c r="N92" s="104"/>
      <c r="O92" s="104"/>
      <c r="P92" s="104"/>
      <c r="Q92" s="104"/>
    </row>
    <row r="93" spans="1:17" ht="15" customHeight="1">
      <c r="A93" s="115"/>
      <c r="B93" s="108"/>
      <c r="C93" s="218" t="str">
        <f>ΠΑΡΑΜΕΤΡΟΙ!$B$5&amp;" "&amp;ΔΕΔΟΜΕΝΑ!C34&amp;" € "&amp;ΔΕΔΟΜΕΝΑ!G34</f>
        <v>Γράφτηκε πίστωση 780000 €  για το συνεργείο καθαριότητας και φύλαξης του Κέντρου.</v>
      </c>
      <c r="D93" s="218"/>
      <c r="E93" s="218"/>
      <c r="F93" s="218"/>
      <c r="G93" s="218"/>
      <c r="H93" s="218"/>
      <c r="I93" s="218"/>
      <c r="J93" s="218"/>
      <c r="K93" s="118"/>
      <c r="L93" s="118"/>
      <c r="M93" s="118"/>
      <c r="N93" s="118"/>
      <c r="O93" s="118"/>
      <c r="P93" s="118"/>
      <c r="Q93" s="118"/>
    </row>
    <row r="94" spans="1:17" ht="15" customHeight="1" hidden="1">
      <c r="A94" s="116" t="s">
        <v>619</v>
      </c>
      <c r="B94" s="111" t="s">
        <v>117</v>
      </c>
      <c r="C94" s="217" t="s">
        <v>17</v>
      </c>
      <c r="D94" s="218"/>
      <c r="E94" s="218"/>
      <c r="F94" s="218"/>
      <c r="G94" s="218"/>
      <c r="H94" s="218"/>
      <c r="I94" s="218"/>
      <c r="J94" s="218"/>
      <c r="K94" s="218"/>
      <c r="L94" s="218"/>
      <c r="M94" s="218"/>
      <c r="N94" s="218"/>
      <c r="O94" s="218"/>
      <c r="P94" s="218"/>
      <c r="Q94" s="218"/>
    </row>
    <row r="95" spans="1:17" ht="12.75" hidden="1">
      <c r="A95" s="115"/>
      <c r="B95" s="108"/>
      <c r="C95" s="218" t="s">
        <v>528</v>
      </c>
      <c r="D95" s="218"/>
      <c r="E95" s="218"/>
      <c r="F95" s="218"/>
      <c r="G95" s="218"/>
      <c r="H95" s="218"/>
      <c r="I95" s="218"/>
      <c r="J95" s="218"/>
      <c r="K95" s="104"/>
      <c r="L95" s="104"/>
      <c r="M95" s="104"/>
      <c r="N95" s="104"/>
      <c r="O95" s="104"/>
      <c r="P95" s="104"/>
      <c r="Q95" s="104"/>
    </row>
    <row r="96" spans="1:17" ht="12.75">
      <c r="A96" s="115">
        <v>7</v>
      </c>
      <c r="B96" s="108" t="s">
        <v>117</v>
      </c>
      <c r="C96" s="217" t="str">
        <f>ΠΑΡΑΜΕΤΡΟΙ!$B$7&amp;" "&amp;ΔΕΔΟΜΕΝΑ!A35&amp;" "&amp;ΔΕΔΟΜΕΝΑ!B35</f>
        <v>Στον Κ.Α 0426 Αμοιβές ιδιωτικών γραφείων για την εκτέλεση μηχανογραφικών εργασιών.</v>
      </c>
      <c r="D96" s="217"/>
      <c r="E96" s="217"/>
      <c r="F96" s="217"/>
      <c r="G96" s="217"/>
      <c r="H96" s="217"/>
      <c r="I96" s="217"/>
      <c r="J96" s="217"/>
      <c r="K96" s="217"/>
      <c r="L96" s="104"/>
      <c r="M96" s="104"/>
      <c r="N96" s="104"/>
      <c r="O96" s="104"/>
      <c r="P96" s="104"/>
      <c r="Q96" s="104"/>
    </row>
    <row r="97" spans="1:17" ht="12.75">
      <c r="A97" s="115"/>
      <c r="B97" s="108"/>
      <c r="C97" s="218" t="str">
        <f>ΠΑΡΑΜΕΤΡΟΙ!$B$5&amp;" "&amp;ΔΕΔΟΜΕΝΑ!C35&amp;" € "&amp;ΔΕΔΟΜΕΝΑ!G35</f>
        <v>Γράφτηκε πίστωση 20000 €  για τη λογιστική υποστήριξη και παρακολούθηση των προγ/των του Κέντρου.</v>
      </c>
      <c r="D97" s="218"/>
      <c r="E97" s="218"/>
      <c r="F97" s="218"/>
      <c r="G97" s="218"/>
      <c r="H97" s="218"/>
      <c r="I97" s="218"/>
      <c r="J97" s="218"/>
      <c r="K97" s="218"/>
      <c r="L97" s="218"/>
      <c r="M97" s="104"/>
      <c r="N97" s="104"/>
      <c r="O97" s="104"/>
      <c r="P97" s="104"/>
      <c r="Q97" s="104"/>
    </row>
    <row r="98" spans="1:17" ht="12.75">
      <c r="A98" s="115">
        <v>8</v>
      </c>
      <c r="B98" s="108" t="s">
        <v>117</v>
      </c>
      <c r="C98" s="217" t="str">
        <f>ΠΑΡΑΜΕΤΡΟΙ!$B$7&amp;" "&amp;ΔΕΔΟΜΕΝΑ!A36&amp;" "&amp;ΔΕΔΟΜΕΝΑ!B36</f>
        <v>Στον Κ.Α 0429 Αμοιβές λοιπών φυσικών προσώπων για ειδικές υπηρεσίες</v>
      </c>
      <c r="D98" s="217"/>
      <c r="E98" s="217"/>
      <c r="F98" s="217"/>
      <c r="G98" s="217"/>
      <c r="H98" s="217"/>
      <c r="I98" s="217"/>
      <c r="J98" s="217"/>
      <c r="K98" s="217"/>
      <c r="L98" s="104"/>
      <c r="M98" s="104"/>
      <c r="N98" s="104"/>
      <c r="O98" s="104"/>
      <c r="P98" s="104"/>
      <c r="Q98" s="104"/>
    </row>
    <row r="99" spans="1:17" ht="51" customHeight="1">
      <c r="A99" s="115"/>
      <c r="B99" s="108"/>
      <c r="C99" s="218" t="str">
        <f>ΠΑΡΑΜΕΤΡΟΙ!$B$5&amp;" "&amp;ΔΕΔΟΜΕΝΑ!C36&amp;" € "&amp;ΔΕΔΟΜΕΝΑ!G36</f>
        <v>Γράφτηκε πίστωση 35000 €  για πληρωμή της απασχόλησης διαφόρων θεραπευτών στο Κέντρο για τις ανάγκες των περιθαλπομένων, καθότι δεν υπηρετούν μόνιμοι διορισμένοι ψυχολόγοι, χοροθεραπευτές, μουσικοθεραπευτές, λογοθεραπευτές, αλλά και για την απασχόληση κουρέων, διότι δεν διατίθενται πλέον από τον ΟΑΕΔ.   Τα άτομα πληρώνονται με απόδειξη παροχής υπηρεσιών με αμοιβή κατ' επίσκεψη του δημοσίου.  Απασχολούνται 4 ψυχολόγοι, 1 χορ/τρια, 2 λογ/τές, 3 κουρείς και 1 μουσικός.</v>
      </c>
      <c r="D99" s="218"/>
      <c r="E99" s="218"/>
      <c r="F99" s="218"/>
      <c r="G99" s="218"/>
      <c r="H99" s="218"/>
      <c r="I99" s="218"/>
      <c r="J99" s="218"/>
      <c r="K99" s="218"/>
      <c r="L99" s="218"/>
      <c r="M99" s="104"/>
      <c r="N99" s="104"/>
      <c r="O99" s="104"/>
      <c r="P99" s="104"/>
      <c r="Q99" s="104"/>
    </row>
    <row r="100" spans="1:17" ht="15" customHeight="1">
      <c r="A100" s="115">
        <v>9</v>
      </c>
      <c r="B100" s="108" t="s">
        <v>117</v>
      </c>
      <c r="C100" s="217" t="str">
        <f>ΠΑΡΑΜΕΤΡΟΙ!B7&amp;" "&amp;ΔΕΔΟΜΕΝΑ!A38&amp;" "&amp;ΔΕΔΟΜΕΝΑ!B38</f>
        <v>Στον Κ.Α 0540 Εκπαιδευτικές Δαπάνες </v>
      </c>
      <c r="D100" s="217"/>
      <c r="E100" s="217"/>
      <c r="F100" s="217"/>
      <c r="G100" s="217"/>
      <c r="H100" s="217"/>
      <c r="I100" s="217"/>
      <c r="J100" s="217"/>
      <c r="K100" s="104"/>
      <c r="L100" s="104"/>
      <c r="M100" s="104"/>
      <c r="N100" s="104"/>
      <c r="O100" s="104"/>
      <c r="P100" s="104"/>
      <c r="Q100" s="104"/>
    </row>
    <row r="101" spans="1:17" ht="15" customHeight="1">
      <c r="A101" s="104"/>
      <c r="B101" s="108"/>
      <c r="C101" s="218" t="str">
        <f>ΠΑΡΑΜΕΤΡΟΙ!$B$5&amp;" "&amp;ΔΕΔΟΜΕΝΑ!C38&amp;" € "&amp;ΔΕΔΟΜΕΝΑ!G38</f>
        <v>Γράφτηκε πίστωση 4500 €  για συμμετοχή υπ/λων σε συνέδρια , ημερίδες και εκπαιδευτικά προγράμματα.</v>
      </c>
      <c r="D101" s="218"/>
      <c r="E101" s="218"/>
      <c r="F101" s="218"/>
      <c r="G101" s="218"/>
      <c r="H101" s="218"/>
      <c r="I101" s="218"/>
      <c r="J101" s="218"/>
      <c r="K101" s="104"/>
      <c r="L101" s="104"/>
      <c r="M101" s="104"/>
      <c r="N101" s="104"/>
      <c r="O101" s="104"/>
      <c r="P101" s="104"/>
      <c r="Q101" s="104"/>
    </row>
    <row r="102" spans="1:17" ht="14.25" customHeight="1">
      <c r="A102" s="115">
        <v>10</v>
      </c>
      <c r="B102" s="108" t="s">
        <v>117</v>
      </c>
      <c r="C102" s="217" t="str">
        <f>ΠΑΡΑΜΕΤΡΟΙ!B7&amp;" "&amp;ΔΕΔΟΜΕΝΑ!A40&amp;" "&amp;ΔΕΔΟΜΕΝΑ!B40</f>
        <v>Στον Κ.Α 0561 Εισφορές στον ΕΦΚΑ</v>
      </c>
      <c r="D102" s="218"/>
      <c r="E102" s="218"/>
      <c r="F102" s="218"/>
      <c r="G102" s="218"/>
      <c r="H102" s="218"/>
      <c r="I102" s="218"/>
      <c r="J102" s="218"/>
      <c r="K102" s="218"/>
      <c r="L102" s="218"/>
      <c r="M102" s="218"/>
      <c r="N102" s="218"/>
      <c r="O102" s="218"/>
      <c r="P102" s="218"/>
      <c r="Q102" s="218"/>
    </row>
    <row r="103" spans="1:17" ht="15" customHeight="1">
      <c r="A103" s="115"/>
      <c r="B103" s="108"/>
      <c r="C103" s="218" t="str">
        <f>ΠΑΡΑΜΕΤΡΟΙ!$B$5&amp;" "&amp;ΔΕΔΟΜΕΝΑ!C40&amp;" € "&amp;ΔΕΔΟΜΕΝΑ!G40</f>
        <v>Γράφτηκε πίστωση 200000 €   για εισφορές εργοδότου υπέρ του ΕΦΚΑ για τους ΙΔΟΧ υπαλλήλους που διορίστηκαν από 1/1/2011 και μετά.</v>
      </c>
      <c r="D103" s="218"/>
      <c r="E103" s="218"/>
      <c r="F103" s="218"/>
      <c r="G103" s="218"/>
      <c r="H103" s="218"/>
      <c r="I103" s="218"/>
      <c r="J103" s="111"/>
      <c r="K103" s="104"/>
      <c r="L103" s="104"/>
      <c r="M103" s="104"/>
      <c r="N103" s="104"/>
      <c r="O103" s="104"/>
      <c r="P103" s="104"/>
      <c r="Q103" s="104"/>
    </row>
    <row r="104" spans="1:17" ht="12.75">
      <c r="A104" s="115">
        <v>11</v>
      </c>
      <c r="B104" s="108" t="s">
        <v>117</v>
      </c>
      <c r="C104" s="219" t="str">
        <f>ΠΑΡΑΜΕΤΡΟΙ!B7&amp;" "&amp;ΔΕΔΟΜΕΝΑ!A43&amp;" "&amp;ΔΕΔΟΜΕΝΑ!B43</f>
        <v>Στον Κ.Α 0631 Βοηθήματα εφ` άπαξ</v>
      </c>
      <c r="D104" s="219"/>
      <c r="E104" s="219"/>
      <c r="F104" s="219"/>
      <c r="G104" s="219"/>
      <c r="H104" s="219"/>
      <c r="I104" s="219"/>
      <c r="J104" s="219"/>
      <c r="K104" s="104"/>
      <c r="L104" s="104"/>
      <c r="M104" s="104"/>
      <c r="N104" s="104"/>
      <c r="O104" s="104"/>
      <c r="P104" s="104"/>
      <c r="Q104" s="104"/>
    </row>
    <row r="105" spans="1:17" ht="15" customHeight="1">
      <c r="A105" s="115"/>
      <c r="B105" s="108"/>
      <c r="C105" s="218" t="str">
        <f>ΠΑΡΑΜΕΤΡΟΙ!$B$5&amp;" "&amp;ΔΕΔΟΜΕΝΑ!C43&amp;" € "&amp;ΔΕΔΟΜΕΝΑ!G43</f>
        <v>Γράφτηκε πίστωση 250000 €  για καταβολή εφάπαξ βοηθήματος  Ν.103/75 σε υπαλλήλους της Μονάδος που έχουν  συνταξιοδοτηθεί ή πρόκειται να συνταξιοδοτηθούν μέσα στο 2016.</v>
      </c>
      <c r="D105" s="218"/>
      <c r="E105" s="218"/>
      <c r="F105" s="218"/>
      <c r="G105" s="218"/>
      <c r="H105" s="218"/>
      <c r="I105" s="218"/>
      <c r="J105" s="218"/>
      <c r="K105" s="104"/>
      <c r="L105" s="104"/>
      <c r="M105" s="104"/>
      <c r="N105" s="104"/>
      <c r="O105" s="104"/>
      <c r="P105" s="104"/>
      <c r="Q105" s="104"/>
    </row>
    <row r="106" spans="1:17" ht="15.75" customHeight="1">
      <c r="A106" s="115">
        <v>13</v>
      </c>
      <c r="B106" s="108" t="s">
        <v>117</v>
      </c>
      <c r="C106" s="107" t="str">
        <f>ΠΑΡΑΜΕΤΡΟΙ!B7&amp;" "&amp;ΔΕΔΟΜΕΝΑ!A46&amp;" "&amp;ΔΕΔΟΜΕΝΑ!B46</f>
        <v>Στον Κ.Α 0711 Οδοιπορικά έξοδα μετακίνησης για εκτέλεση υπηρεσίας στην ημεδαπή υπαλλήλων</v>
      </c>
      <c r="D106" s="107"/>
      <c r="E106" s="107"/>
      <c r="F106" s="107"/>
      <c r="G106" s="107"/>
      <c r="H106" s="107"/>
      <c r="I106" s="107"/>
      <c r="J106" s="107"/>
      <c r="K106" s="104"/>
      <c r="L106" s="104"/>
      <c r="M106" s="104"/>
      <c r="N106" s="104"/>
      <c r="O106" s="104"/>
      <c r="P106" s="104"/>
      <c r="Q106" s="104"/>
    </row>
    <row r="107" spans="1:17" ht="15" customHeight="1">
      <c r="A107" s="115"/>
      <c r="B107" s="108"/>
      <c r="C107" s="221" t="str">
        <f>ΠΑΡΑΜΕΤΡΟΙ!$B$5&amp;" "&amp;ΔΕΔΟΜΕΝΑ!C46&amp;" € "&amp;ΔΕΔΟΜΕΝΑ!G46</f>
        <v>Γράφτηκε πίστωση 3000 €  για οδοιπορικά έξοδα εκτός έδρας υπηρεσίας υπαλλήλων του κέντρου. (επισυνάπτεται κατάσταση).</v>
      </c>
      <c r="D107" s="221"/>
      <c r="E107" s="221"/>
      <c r="F107" s="221"/>
      <c r="G107" s="221"/>
      <c r="H107" s="221"/>
      <c r="I107" s="221"/>
      <c r="J107" s="221"/>
      <c r="K107" s="118"/>
      <c r="L107" s="118"/>
      <c r="M107" s="118"/>
      <c r="N107" s="118"/>
      <c r="O107" s="118"/>
      <c r="P107" s="118"/>
      <c r="Q107" s="118"/>
    </row>
    <row r="108" spans="1:17" ht="12.75">
      <c r="A108" s="115">
        <v>14</v>
      </c>
      <c r="B108" s="108" t="s">
        <v>117</v>
      </c>
      <c r="C108" s="107" t="str">
        <f>ΠΑΡΑΜΕΤΡΟΙ!B7&amp;" "&amp;ΔΕΔΟΜΕΝΑ!A48&amp;" "&amp;ΔΕΔΟΜΕΝΑ!B48</f>
        <v>Στον Κ.Α 0721 Ημερήσια αποζημίωση μετακίνησης για εκτέλεση υπηρεσίας στην ημεδαπή υπαλλήλων</v>
      </c>
      <c r="D108" s="107"/>
      <c r="E108" s="107"/>
      <c r="F108" s="107"/>
      <c r="G108" s="107"/>
      <c r="H108" s="107"/>
      <c r="I108" s="107"/>
      <c r="J108" s="107"/>
      <c r="K108" s="104"/>
      <c r="L108" s="104"/>
      <c r="M108" s="104"/>
      <c r="N108" s="104"/>
      <c r="O108" s="104"/>
      <c r="P108" s="104"/>
      <c r="Q108" s="104"/>
    </row>
    <row r="109" spans="1:17" ht="15" customHeight="1">
      <c r="A109" s="115"/>
      <c r="B109" s="108"/>
      <c r="C109" s="221" t="str">
        <f>ΠΑΡΑΜΕΤΡΟΙ!$B$5&amp;" "&amp;ΔΕΔΟΜΕΝΑ!C48&amp;" € "&amp;ΔΕΔΟΜΕΝΑ!G48</f>
        <v>Γράφτηκε πίστωση 2000 €  για ημερήσια αποζημίωση για υπηρεσία εκτός έδρας, των υπαλλήλων του κέντρου (επισυνάπτεται κατάσταση).</v>
      </c>
      <c r="D109" s="221"/>
      <c r="E109" s="221"/>
      <c r="F109" s="221"/>
      <c r="G109" s="221"/>
      <c r="H109" s="221"/>
      <c r="I109" s="221"/>
      <c r="J109" s="221"/>
      <c r="K109" s="104"/>
      <c r="L109" s="104"/>
      <c r="M109" s="104"/>
      <c r="N109" s="104"/>
      <c r="O109" s="104"/>
      <c r="P109" s="104"/>
      <c r="Q109" s="104"/>
    </row>
    <row r="110" spans="1:17" ht="15.75" customHeight="1">
      <c r="A110" s="116">
        <v>15</v>
      </c>
      <c r="B110" s="111" t="s">
        <v>117</v>
      </c>
      <c r="C110" s="217" t="str">
        <f>ΠΑΡΑΜΕΤΡΟΙ!$B$7&amp;" "&amp;ΔΕΔΟΜΕΝΑ!A50&amp;" "&amp;ΔΕΔΟΜΕΝΑ!B50</f>
        <v>Στον Κ.Α 0813 Μισθώματα κτιρίων και έξοδα κοινοχρήστων</v>
      </c>
      <c r="D110" s="217"/>
      <c r="E110" s="217"/>
      <c r="F110" s="217"/>
      <c r="G110" s="217"/>
      <c r="H110" s="217"/>
      <c r="I110" s="217"/>
      <c r="J110" s="217"/>
      <c r="K110" s="104"/>
      <c r="L110" s="104"/>
      <c r="M110" s="104"/>
      <c r="N110" s="104"/>
      <c r="O110" s="104"/>
      <c r="P110" s="104"/>
      <c r="Q110" s="104"/>
    </row>
    <row r="111" spans="1:17" ht="25.5" customHeight="1">
      <c r="A111" s="104"/>
      <c r="B111" s="108"/>
      <c r="C111" s="218" t="str">
        <f>ΠΑΡΑΜΕΤΡΟΙ!$B$5&amp;" "&amp;ΔΕΔΟΜΕΝΑ!C50&amp;" € "&amp;ΔΕΔΟΜΕΝΑ!G50</f>
        <v>Γράφτηκε πίστωση 15000 €  Για να πληρωθούν τα  έξοδα ενοικίων και κοινοχρήστων των κατοικιών ημιαυτόνομης διαβίωσης.</v>
      </c>
      <c r="D111" s="218"/>
      <c r="E111" s="218"/>
      <c r="F111" s="218"/>
      <c r="G111" s="218"/>
      <c r="H111" s="218"/>
      <c r="I111" s="218"/>
      <c r="J111" s="218"/>
      <c r="K111" s="118"/>
      <c r="L111" s="118"/>
      <c r="M111" s="118"/>
      <c r="N111" s="118"/>
      <c r="O111" s="118"/>
      <c r="P111" s="118"/>
      <c r="Q111" s="118"/>
    </row>
    <row r="112" spans="1:17" ht="12.75">
      <c r="A112" s="115">
        <v>16</v>
      </c>
      <c r="B112" s="108" t="s">
        <v>117</v>
      </c>
      <c r="C112" s="217" t="str">
        <f>ΠΑΡΑΜΕΤΡΟΙ!B7&amp;" "&amp;ΔΕΔΟΜΕΝΑ!A51&amp;" "&amp;ΔΕΔΟΜΕΝΑ!B51</f>
        <v>Στον Κ.Α 0819 Λοιπά μισθώματα </v>
      </c>
      <c r="D112" s="217"/>
      <c r="E112" s="217"/>
      <c r="F112" s="217"/>
      <c r="G112" s="217"/>
      <c r="H112" s="217"/>
      <c r="I112" s="217"/>
      <c r="J112" s="217"/>
      <c r="K112" s="118"/>
      <c r="L112" s="118"/>
      <c r="M112" s="118"/>
      <c r="N112" s="118"/>
      <c r="O112" s="118"/>
      <c r="P112" s="118"/>
      <c r="Q112" s="118"/>
    </row>
    <row r="113" spans="1:17" ht="15" customHeight="1">
      <c r="A113" s="115"/>
      <c r="B113" s="108"/>
      <c r="C113" s="218" t="str">
        <f>ΠΑΡΑΜΕΤΡΟΙ!$B$5&amp;" "&amp;ΔΕΔΟΜΕΝΑ!C51&amp;" € "&amp;ΔΕΔΟΜΕΝΑ!G51</f>
        <v>Γράφτηκε πίστωση 100 €  για τη μίσθωση ταχυδρομικής Θυρίδας στο Παράρτημα Σερρών.</v>
      </c>
      <c r="D113" s="218"/>
      <c r="E113" s="218"/>
      <c r="F113" s="218"/>
      <c r="G113" s="218"/>
      <c r="H113" s="218"/>
      <c r="I113" s="218"/>
      <c r="J113" s="218"/>
      <c r="K113" s="118"/>
      <c r="L113" s="118"/>
      <c r="M113" s="118"/>
      <c r="N113" s="118"/>
      <c r="O113" s="118"/>
      <c r="P113" s="118"/>
      <c r="Q113" s="118"/>
    </row>
    <row r="114" spans="1:17" ht="15" customHeight="1">
      <c r="A114" s="115" t="s">
        <v>743</v>
      </c>
      <c r="B114" s="108" t="s">
        <v>117</v>
      </c>
      <c r="C114" s="217" t="str">
        <f>ΠΑΡΑΜΕΤΡΟΙ!$B$7&amp;" "&amp;ΔΕΔΟΜΕΝΑ!A52&amp;" "&amp;ΔΕΔΟΜΕΝΑ!B52</f>
        <v>Στον Κ.Α 0831 Ταχυδρομικά Τέλη </v>
      </c>
      <c r="D114" s="217"/>
      <c r="E114" s="217"/>
      <c r="F114" s="217"/>
      <c r="G114" s="217"/>
      <c r="H114" s="217"/>
      <c r="I114" s="217"/>
      <c r="J114" s="111"/>
      <c r="K114" s="118"/>
      <c r="L114" s="118"/>
      <c r="M114" s="118"/>
      <c r="N114" s="118"/>
      <c r="O114" s="118"/>
      <c r="P114" s="118"/>
      <c r="Q114" s="118"/>
    </row>
    <row r="115" spans="1:17" ht="15" customHeight="1">
      <c r="A115" s="115"/>
      <c r="B115" s="108"/>
      <c r="C115" s="218" t="str">
        <f>ΠΑΡΑΜΕΤΡΟΙ!$B$5&amp;" "&amp;ΔΕΔΟΜΕΝΑ!C52&amp;" € "&amp;ΔΕΔΟΜΕΝΑ!G52</f>
        <v>Γράφτηκε πίστωση 3000 €  για αγορά γραμματοσήμων κ.λ.π. και αμοιβή εταιρίας κούριερ.</v>
      </c>
      <c r="D115" s="218"/>
      <c r="E115" s="218"/>
      <c r="F115" s="218"/>
      <c r="G115" s="218"/>
      <c r="H115" s="218"/>
      <c r="I115" s="218"/>
      <c r="J115" s="111"/>
      <c r="K115" s="118"/>
      <c r="L115" s="118"/>
      <c r="M115" s="118"/>
      <c r="N115" s="118"/>
      <c r="O115" s="118"/>
      <c r="P115" s="118"/>
      <c r="Q115" s="118"/>
    </row>
    <row r="116" spans="1:17" ht="12.75">
      <c r="A116" s="116" t="s">
        <v>744</v>
      </c>
      <c r="B116" s="111" t="s">
        <v>117</v>
      </c>
      <c r="C116" s="217" t="str">
        <f>ΠΑΡΑΜΕΤΡΟΙ!B7&amp;" "&amp;ΔΕΔΟΜΕΝΑ!A54&amp;" "&amp;ΔΕΔΟΜΕΝΑ!B54</f>
        <v>Στον Κ.Α 0832 Τηλεφωνικά, τηλεγραφικά και τηλετυπικά τέλη εσωτερικού</v>
      </c>
      <c r="D116" s="217"/>
      <c r="E116" s="217"/>
      <c r="F116" s="217"/>
      <c r="G116" s="217"/>
      <c r="H116" s="217"/>
      <c r="I116" s="217"/>
      <c r="J116" s="217"/>
      <c r="K116" s="104"/>
      <c r="L116" s="104"/>
      <c r="M116" s="104"/>
      <c r="N116" s="104"/>
      <c r="O116" s="104"/>
      <c r="P116" s="104"/>
      <c r="Q116" s="104"/>
    </row>
    <row r="117" spans="1:17" ht="15" customHeight="1">
      <c r="A117" s="115"/>
      <c r="B117" s="108"/>
      <c r="C117" s="218" t="str">
        <f>ΠΑΡΑΜΕΤΡΟΙ!$B$5&amp;" "&amp;ΔΕΔΟΜΕΝΑ!C54&amp;" € "&amp;ΔΕΔΟΜΕΝΑ!G54</f>
        <v>Γράφτηκε πίστωση 35000 €  για  πληρωμή λογαριασμών τηλεφωνικών συνδιαλέξεων. (επισυνάπτεται κατάσταση).</v>
      </c>
      <c r="D117" s="218"/>
      <c r="E117" s="218"/>
      <c r="F117" s="218"/>
      <c r="G117" s="218"/>
      <c r="H117" s="218"/>
      <c r="I117" s="218"/>
      <c r="J117" s="218"/>
      <c r="K117" s="112"/>
      <c r="L117" s="112"/>
      <c r="M117" s="112"/>
      <c r="N117" s="112"/>
      <c r="O117" s="112"/>
      <c r="P117" s="112"/>
      <c r="Q117" s="112"/>
    </row>
    <row r="118" spans="1:17" ht="12.75">
      <c r="A118" s="116" t="s">
        <v>745</v>
      </c>
      <c r="B118" s="111" t="s">
        <v>117</v>
      </c>
      <c r="C118" s="217" t="str">
        <f>ΠΑΡΑΜΕΤΡΟΙ!B7&amp;" "&amp;ΔΕΔΟΜΕΝΑ!A56&amp;" "&amp;ΔΕΔΟΜΕΝΑ!B56</f>
        <v>Στον Κ.Α 0841 Ύδρευση και άρδευση</v>
      </c>
      <c r="D118" s="217"/>
      <c r="E118" s="217"/>
      <c r="F118" s="217"/>
      <c r="G118" s="217"/>
      <c r="H118" s="217"/>
      <c r="I118" s="217"/>
      <c r="J118" s="217"/>
      <c r="K118" s="104"/>
      <c r="L118" s="104"/>
      <c r="M118" s="104"/>
      <c r="N118" s="104"/>
      <c r="O118" s="104"/>
      <c r="P118" s="104"/>
      <c r="Q118" s="104"/>
    </row>
    <row r="119" spans="1:17" ht="15" customHeight="1">
      <c r="A119" s="115"/>
      <c r="B119" s="108"/>
      <c r="C119" s="218" t="str">
        <f>ΠΑΡΑΜΕΤΡΟΙ!$B$5&amp;" "&amp;ΔΕΔΟΜΕΝΑ!C56&amp;" € "&amp;ΔΕΔΟΜΕΝΑ!G56</f>
        <v>Γράφτηκε πίστωση 40000 €  για πληρωμή λογαριασμών ύδρευσης.</v>
      </c>
      <c r="D119" s="218"/>
      <c r="E119" s="218"/>
      <c r="F119" s="218"/>
      <c r="G119" s="218"/>
      <c r="H119" s="218"/>
      <c r="I119" s="218"/>
      <c r="J119" s="218"/>
      <c r="K119" s="104"/>
      <c r="L119" s="104"/>
      <c r="M119" s="104"/>
      <c r="N119" s="104"/>
      <c r="O119" s="104"/>
      <c r="P119" s="104"/>
      <c r="Q119" s="104"/>
    </row>
    <row r="120" spans="1:17" ht="12.75">
      <c r="A120" s="116" t="s">
        <v>746</v>
      </c>
      <c r="B120" s="111" t="s">
        <v>117</v>
      </c>
      <c r="C120" s="217" t="str">
        <f>ΠΑΡΑΜΕΤΡΟΙ!B7&amp;" "&amp;ΔΕΔΟΜΕΝΑ!A58&amp;" "&amp;ΔΕΔΟΜΕΝΑ!B58</f>
        <v>Στον Κ.Α 0842 Φωτισμός , κίνηση και θέρμανση  (με ηλεκτρισμό , φωταέριο και λοιπές πηγές ενέργειας)</v>
      </c>
      <c r="D120" s="217"/>
      <c r="E120" s="217"/>
      <c r="F120" s="217"/>
      <c r="G120" s="217"/>
      <c r="H120" s="217"/>
      <c r="I120" s="217"/>
      <c r="J120" s="217"/>
      <c r="K120" s="104"/>
      <c r="L120" s="104"/>
      <c r="M120" s="104"/>
      <c r="N120" s="104"/>
      <c r="O120" s="104"/>
      <c r="P120" s="104"/>
      <c r="Q120" s="104"/>
    </row>
    <row r="121" spans="1:17" ht="15" customHeight="1">
      <c r="A121" s="115"/>
      <c r="B121" s="108"/>
      <c r="C121" s="218" t="str">
        <f>ΠΑΡΑΜΕΤΡΟΙ!$B$5&amp;" "&amp;ΔΕΔΟΜΕΝΑ!C58&amp;" € "&amp;ΔΕΔΟΜΕΝΑ!G58</f>
        <v>Γράφτηκε πίστωση 515000 €  για  πληρωμή λογαριασμών ηλεκτρικού ρεύματος και αερίου.</v>
      </c>
      <c r="D121" s="218"/>
      <c r="E121" s="218"/>
      <c r="F121" s="218"/>
      <c r="G121" s="218"/>
      <c r="H121" s="218"/>
      <c r="I121" s="218"/>
      <c r="J121" s="218"/>
      <c r="K121" s="118"/>
      <c r="L121" s="118"/>
      <c r="M121" s="118"/>
      <c r="N121" s="118"/>
      <c r="O121" s="118"/>
      <c r="P121" s="118"/>
      <c r="Q121" s="118"/>
    </row>
    <row r="122" spans="1:17" ht="12.75">
      <c r="A122" s="115" t="s">
        <v>747</v>
      </c>
      <c r="B122" s="108" t="s">
        <v>117</v>
      </c>
      <c r="C122" s="217" t="str">
        <f>ΠΑΡΑΜΕΤΡΟΙ!B7&amp;" "&amp;ΔΕΔΟΜΕΝΑ!A60&amp;" "&amp;ΔΕΔΟΜΕΝΑ!B60</f>
        <v>Στον Κ.Α 0844 Εκκένωση βόθρων</v>
      </c>
      <c r="D122" s="218"/>
      <c r="E122" s="218"/>
      <c r="F122" s="218"/>
      <c r="G122" s="218"/>
      <c r="H122" s="218"/>
      <c r="I122" s="218"/>
      <c r="J122" s="218"/>
      <c r="K122" s="118"/>
      <c r="L122" s="118"/>
      <c r="M122" s="118"/>
      <c r="N122" s="118"/>
      <c r="O122" s="118"/>
      <c r="P122" s="118"/>
      <c r="Q122" s="118"/>
    </row>
    <row r="123" spans="1:17" ht="15" customHeight="1">
      <c r="A123" s="115"/>
      <c r="B123" s="108"/>
      <c r="C123" s="218" t="str">
        <f>ΠΑΡΑΜΕΤΡΟΙ!$B$5&amp;" "&amp;ΔΕΔΟΜΕΝΑ!C60&amp;" € "&amp;ΔΕΔΟΜΕΝΑ!G60</f>
        <v>Γράφτηκε πίστωση 7000 €  για αμοιβή  συνεργείου εκκένωσης βόθρων.</v>
      </c>
      <c r="D123" s="218"/>
      <c r="E123" s="218"/>
      <c r="F123" s="218"/>
      <c r="G123" s="218"/>
      <c r="H123" s="218"/>
      <c r="I123" s="218"/>
      <c r="J123" s="218"/>
      <c r="K123" s="118"/>
      <c r="L123" s="118"/>
      <c r="M123" s="118"/>
      <c r="N123" s="118"/>
      <c r="O123" s="118"/>
      <c r="P123" s="118"/>
      <c r="Q123" s="118"/>
    </row>
    <row r="124" spans="1:17" ht="12.75">
      <c r="A124" s="115" t="s">
        <v>748</v>
      </c>
      <c r="B124" s="108" t="s">
        <v>117</v>
      </c>
      <c r="C124" s="217" t="str">
        <f>ΠΑΡΑΜΕΤΡΟΙ!B7&amp;" "&amp;ΔΕΔΟΜΕΝΑ!A62&amp;" "&amp;ΔΕΔΟΜΕΝΑ!B62</f>
        <v>Στον Κ.Α 0850. Δημόσιες σχέσεις</v>
      </c>
      <c r="D124" s="217"/>
      <c r="E124" s="217"/>
      <c r="F124" s="217"/>
      <c r="G124" s="217"/>
      <c r="H124" s="217"/>
      <c r="I124" s="217"/>
      <c r="J124" s="217"/>
      <c r="K124" s="104"/>
      <c r="L124" s="104"/>
      <c r="M124" s="104"/>
      <c r="N124" s="104"/>
      <c r="O124" s="104"/>
      <c r="P124" s="104"/>
      <c r="Q124" s="104"/>
    </row>
    <row r="125" spans="1:17" ht="15" customHeight="1">
      <c r="A125" s="115"/>
      <c r="B125" s="108"/>
      <c r="C125" s="218" t="str">
        <f>ΠΑΡΑΜΕΤΡΟΙ!$B$5&amp;" "&amp;ΔΕΔΟΜΕΝΑ!C62&amp;" € "&amp;ΔΕΔΟΜΕΝΑ!G62</f>
        <v>Γράφτηκε πίστωση 9000 €  για διοργάνωση διάφορων εκδηλώσεων προώθησης του έργου του Κέντρου.</v>
      </c>
      <c r="D125" s="218"/>
      <c r="E125" s="218"/>
      <c r="F125" s="218"/>
      <c r="G125" s="218"/>
      <c r="H125" s="218"/>
      <c r="I125" s="218"/>
      <c r="J125" s="218"/>
      <c r="K125" s="118"/>
      <c r="L125" s="118"/>
      <c r="M125" s="118"/>
      <c r="N125" s="118"/>
      <c r="O125" s="118"/>
      <c r="P125" s="118"/>
      <c r="Q125" s="118"/>
    </row>
    <row r="126" spans="1:17" ht="12.75">
      <c r="A126" s="115" t="s">
        <v>749</v>
      </c>
      <c r="B126" s="108" t="s">
        <v>117</v>
      </c>
      <c r="C126" s="217" t="str">
        <f>ΠΑΡΑΜΕΤΡΟΙ!B7&amp;" "&amp;ΔΕΔΟΜΕΝΑ!A64&amp;" "&amp;ΔΕΔΟΜΕΝΑ!B64</f>
        <v>Στον Κ.Α 0674 Πρόσθετη περίθαλψη</v>
      </c>
      <c r="D126" s="217"/>
      <c r="E126" s="217"/>
      <c r="F126" s="217"/>
      <c r="G126" s="217"/>
      <c r="H126" s="217"/>
      <c r="I126" s="217"/>
      <c r="J126" s="217"/>
      <c r="K126" s="104"/>
      <c r="L126" s="104"/>
      <c r="M126" s="104"/>
      <c r="N126" s="104"/>
      <c r="O126" s="104"/>
      <c r="P126" s="104"/>
      <c r="Q126" s="104"/>
    </row>
    <row r="127" spans="1:17" ht="15" customHeight="1">
      <c r="A127" s="115"/>
      <c r="B127" s="108"/>
      <c r="C127" s="218" t="str">
        <f>ΠΑΡΑΜΕΤΡΟΙ!$B$5&amp;" "&amp;ΔΕΔΟΜΕΝΑ!C64&amp;" € "&amp;ΔΕΔΟΜΕΝΑ!G64</f>
        <v>Γράφτηκε πίστωση 10000 €  για αμοιβή αποκλειστικών αδελφών κατά τη διάρκεια νοσηλείας των περιθαλπομένων μας σε νοσοκομεία.</v>
      </c>
      <c r="D127" s="218"/>
      <c r="E127" s="218"/>
      <c r="F127" s="218"/>
      <c r="G127" s="218"/>
      <c r="H127" s="218"/>
      <c r="I127" s="218"/>
      <c r="J127" s="218"/>
      <c r="K127" s="104"/>
      <c r="L127" s="104"/>
      <c r="M127" s="104"/>
      <c r="N127" s="104"/>
      <c r="O127" s="104"/>
      <c r="P127" s="104"/>
      <c r="Q127" s="104"/>
    </row>
    <row r="128" spans="1:17" ht="12.75">
      <c r="A128" s="115" t="s">
        <v>750</v>
      </c>
      <c r="B128" s="108"/>
      <c r="C128" s="217" t="str">
        <f>ΠΑΡΑΜΕΤΡΟΙ!B7&amp;" "&amp;ΔΕΔΟΜΕΝΑ!A66&amp;" "&amp;ΔΕΔΟΜΕΝΑ!B66</f>
        <v>Στον Κ.Α 0879 Συντήρηση και επισκευή λοιπών μονίμων εγκαταστάσεων</v>
      </c>
      <c r="D128" s="217"/>
      <c r="E128" s="217"/>
      <c r="F128" s="217"/>
      <c r="G128" s="217"/>
      <c r="H128" s="217"/>
      <c r="I128" s="217"/>
      <c r="J128" s="217"/>
      <c r="K128" s="104"/>
      <c r="L128" s="104"/>
      <c r="M128" s="104"/>
      <c r="N128" s="104"/>
      <c r="O128" s="104"/>
      <c r="P128" s="104"/>
      <c r="Q128" s="104"/>
    </row>
    <row r="129" spans="1:17" ht="15" customHeight="1">
      <c r="A129" s="115"/>
      <c r="B129" s="108"/>
      <c r="C129" s="218" t="str">
        <f>ΠΑΡΑΜΕΤΡΟΙ!$B$5&amp;" "&amp;ΔΕΔΟΜΕΝΑ!C66&amp;" € "&amp;ΔΕΔΟΜΕΝΑ!G66</f>
        <v>Γράφτηκε πίστωση 50000 €  για συντήρηση των ανελκυστήρων, ηλεκτρολογικών  εγκαταστάσεων, καυστήρων του Κέντρου καθώς και λοιπές εργασίες συντήρησης εγκαταστάσεων.</v>
      </c>
      <c r="D129" s="218"/>
      <c r="E129" s="218"/>
      <c r="F129" s="218"/>
      <c r="G129" s="218"/>
      <c r="H129" s="218"/>
      <c r="I129" s="218"/>
      <c r="J129" s="218"/>
      <c r="K129" s="104"/>
      <c r="L129" s="104"/>
      <c r="M129" s="104"/>
      <c r="N129" s="104"/>
      <c r="O129" s="104"/>
      <c r="P129" s="104"/>
      <c r="Q129" s="104"/>
    </row>
    <row r="130" spans="1:17" ht="12.75">
      <c r="A130" s="115" t="s">
        <v>751</v>
      </c>
      <c r="B130" s="108" t="s">
        <v>117</v>
      </c>
      <c r="C130" s="217" t="str">
        <f>ΠΑΡΑΜΕΤΡΟΙ!B7&amp;" "&amp;ΔΕΔΟΜΕΝΑ!A68&amp;" "&amp;ΔΕΔΟΜΕΝΑ!B68</f>
        <v>Στον Κ.Α 0881 Συντήρηση, επισκευή μεταφορικών μέσων ξηράς</v>
      </c>
      <c r="D130" s="217"/>
      <c r="E130" s="217"/>
      <c r="F130" s="217"/>
      <c r="G130" s="217"/>
      <c r="H130" s="217"/>
      <c r="I130" s="217"/>
      <c r="J130" s="217"/>
      <c r="K130" s="104"/>
      <c r="L130" s="104"/>
      <c r="M130" s="104"/>
      <c r="N130" s="104"/>
      <c r="O130" s="104"/>
      <c r="P130" s="104"/>
      <c r="Q130" s="104"/>
    </row>
    <row r="131" spans="1:17" ht="15" customHeight="1">
      <c r="A131" s="115"/>
      <c r="B131" s="108"/>
      <c r="C131" s="218" t="str">
        <f>ΠΑΡΑΜΕΤΡΟΙ!$B$5&amp;" "&amp;ΔΕΔΟΜΕΝΑ!C68&amp;" € "&amp;ΔΕΔΟΜΕΝΑ!G68</f>
        <v>Γράφτηκε πίστωση 20000 €  για συντήρηση και επισκευή των αυτοκινήτων του Κέντρου.</v>
      </c>
      <c r="D131" s="218"/>
      <c r="E131" s="218"/>
      <c r="F131" s="218"/>
      <c r="G131" s="218"/>
      <c r="H131" s="218"/>
      <c r="I131" s="218"/>
      <c r="J131" s="218"/>
      <c r="K131" s="104"/>
      <c r="L131" s="104"/>
      <c r="M131" s="104"/>
      <c r="N131" s="104"/>
      <c r="O131" s="104"/>
      <c r="P131" s="104"/>
      <c r="Q131" s="104"/>
    </row>
    <row r="132" spans="1:17" ht="12.75">
      <c r="A132" s="115" t="s">
        <v>752</v>
      </c>
      <c r="B132" s="108" t="s">
        <v>117</v>
      </c>
      <c r="C132" s="217" t="str">
        <f>ΠΑΡΑΜΕΤΡΟΙ!B7&amp;" "&amp;ΔΕΔΟΜΕΝΑ!A70&amp;" "&amp;ΔΕΔΟΜΕΝΑ!B70</f>
        <v>Στον Κ.Α 0887-0889 Συντήρηση και επισκευή λοιπού εξοπλισμού</v>
      </c>
      <c r="D132" s="217"/>
      <c r="E132" s="217"/>
      <c r="F132" s="217"/>
      <c r="G132" s="217"/>
      <c r="H132" s="217"/>
      <c r="I132" s="217"/>
      <c r="J132" s="217"/>
      <c r="K132" s="104"/>
      <c r="L132" s="104"/>
      <c r="M132" s="104"/>
      <c r="N132" s="104"/>
      <c r="O132" s="104"/>
      <c r="P132" s="104"/>
      <c r="Q132" s="104"/>
    </row>
    <row r="133" spans="1:17" ht="15" customHeight="1">
      <c r="A133" s="115"/>
      <c r="B133" s="108"/>
      <c r="C133" s="218" t="str">
        <f>ΠΑΡΑΜΕΤΡΟΙ!$B$5&amp;" "&amp;ΔΕΔΟΜΕΝΑ!C70&amp;" € "&amp;ΔΕΔΟΜΕΝΑ!G70</f>
        <v>Γράφτηκε πίστωση 30000 €  για συντήρηση και επισκευή του λοιπού εξοπλισμού του Κέντρου.</v>
      </c>
      <c r="D133" s="218"/>
      <c r="E133" s="218"/>
      <c r="F133" s="218"/>
      <c r="G133" s="218"/>
      <c r="H133" s="218"/>
      <c r="I133" s="218"/>
      <c r="J133" s="218"/>
      <c r="K133" s="104"/>
      <c r="L133" s="104"/>
      <c r="M133" s="104"/>
      <c r="N133" s="104"/>
      <c r="O133" s="104"/>
      <c r="P133" s="104"/>
      <c r="Q133" s="104"/>
    </row>
    <row r="134" spans="1:17" ht="15.75" customHeight="1">
      <c r="A134" s="115" t="s">
        <v>753</v>
      </c>
      <c r="B134" s="108" t="s">
        <v>117</v>
      </c>
      <c r="C134" s="217" t="str">
        <f>ΠΑΡΑΜΕΤΡΟΙ!B7&amp;" "&amp;ΔΕΔΟΜΕΝΑ!A73&amp;" "&amp;ΔΕΔΟΜΕΝΑ!B73</f>
        <v>Στον Κ.Α 0892 Ασφάλιστρα &amp; φύλακτρα ακινήτων, μεταφορικών μέσων, μηχανικού εξοπλισμού, επίπλων, χρεογράφων, ενεχύρων κ.λ.π.</v>
      </c>
      <c r="D134" s="217"/>
      <c r="E134" s="217"/>
      <c r="F134" s="217"/>
      <c r="G134" s="217"/>
      <c r="H134" s="217"/>
      <c r="I134" s="217"/>
      <c r="J134" s="217"/>
      <c r="K134" s="118"/>
      <c r="L134" s="118"/>
      <c r="M134" s="118"/>
      <c r="N134" s="118"/>
      <c r="O134" s="118"/>
      <c r="P134" s="118"/>
      <c r="Q134" s="118"/>
    </row>
    <row r="135" spans="1:17" ht="15" customHeight="1">
      <c r="A135" s="104"/>
      <c r="B135" s="108"/>
      <c r="C135" s="218" t="str">
        <f>ΠΑΡΑΜΕΤΡΟΙ!$B$5&amp;" "&amp;ΔΕΔΟΜΕΝΑ!C73&amp;" € "&amp;ΔΕΔΟΜΕΝΑ!G73</f>
        <v>Γράφτηκε πίστωση 15000 €  για πληρωμή των ασφάλιστρων και των τελών κυκλοφορίας των αυτοκινήτων του Κέντρου μας.</v>
      </c>
      <c r="D135" s="218"/>
      <c r="E135" s="218"/>
      <c r="F135" s="218"/>
      <c r="G135" s="218"/>
      <c r="H135" s="218"/>
      <c r="I135" s="218"/>
      <c r="J135" s="218"/>
      <c r="K135" s="104"/>
      <c r="L135" s="104"/>
      <c r="M135" s="104"/>
      <c r="N135" s="104"/>
      <c r="O135" s="104"/>
      <c r="P135" s="104"/>
      <c r="Q135" s="104"/>
    </row>
    <row r="136" spans="1:17" ht="12.75">
      <c r="A136" s="115" t="s">
        <v>754</v>
      </c>
      <c r="B136" s="108" t="s">
        <v>117</v>
      </c>
      <c r="C136" s="217" t="str">
        <f>ΠΑΡΑΜΕΤΡΟΙ!B7&amp;" "&amp;ΔΕΔΟΜΕΝΑ!A77&amp;" "&amp;ΔΕΔΟΜΕΝΑ!B77</f>
        <v>Στον Κ.Α 0899 Λοιπές δαπάνες</v>
      </c>
      <c r="D136" s="217"/>
      <c r="E136" s="217"/>
      <c r="F136" s="217"/>
      <c r="G136" s="217"/>
      <c r="H136" s="217"/>
      <c r="I136" s="217"/>
      <c r="J136" s="217"/>
      <c r="K136" s="104"/>
      <c r="L136" s="104"/>
      <c r="M136" s="104"/>
      <c r="N136" s="104"/>
      <c r="O136" s="104"/>
      <c r="P136" s="104"/>
      <c r="Q136" s="104"/>
    </row>
    <row r="137" spans="1:17" ht="15" customHeight="1">
      <c r="A137" s="104"/>
      <c r="B137" s="108"/>
      <c r="C137" s="218" t="str">
        <f>ΠΑΡΑΜΕΤΡΟΙ!$B$5&amp;" "&amp;ΔΕΔΟΜΕΝΑ!C77&amp;" € "&amp;ΔΕΔΟΜΕΝΑ!G77</f>
        <v>Γράφτηκε πίστωση 20000 €  για διάφορες δαπάνες που δεν συμπεριλαμβάνονται σε άλλους Κ.Α.</v>
      </c>
      <c r="D137" s="218"/>
      <c r="E137" s="218"/>
      <c r="F137" s="218"/>
      <c r="G137" s="218"/>
      <c r="H137" s="218"/>
      <c r="I137" s="218"/>
      <c r="J137" s="218"/>
      <c r="K137" s="104"/>
      <c r="L137" s="104"/>
      <c r="M137" s="104"/>
      <c r="N137" s="104"/>
      <c r="O137" s="104"/>
      <c r="P137" s="104"/>
      <c r="Q137" s="104"/>
    </row>
    <row r="138" spans="1:17" ht="12.75">
      <c r="A138" s="115" t="s">
        <v>755</v>
      </c>
      <c r="B138" s="108" t="s">
        <v>117</v>
      </c>
      <c r="C138" s="217" t="str">
        <f>ΠΑΡΑΜΕΤΡΟΙ!B7&amp;" "&amp;ΔΕΔΟΜΕΝΑ!A79&amp;""&amp;ΔΕΔΟΜΕΝΑ!B79</f>
        <v>Στον Κ.Α 0911Φόροι</v>
      </c>
      <c r="D138" s="217"/>
      <c r="E138" s="217"/>
      <c r="F138" s="217"/>
      <c r="G138" s="217"/>
      <c r="H138" s="217"/>
      <c r="I138" s="217"/>
      <c r="J138" s="217"/>
      <c r="K138" s="104"/>
      <c r="L138" s="104"/>
      <c r="M138" s="104"/>
      <c r="N138" s="104"/>
      <c r="O138" s="104"/>
      <c r="P138" s="104"/>
      <c r="Q138" s="104"/>
    </row>
    <row r="139" spans="1:17" ht="15" customHeight="1">
      <c r="A139" s="104"/>
      <c r="B139" s="108"/>
      <c r="C139" s="218" t="str">
        <f>ΠΑΡΑΜΕΤΡΟΙ!$B$5&amp;" "&amp;ΔΕΔΟΜΕΝΑ!C79&amp;" € "&amp;ΔΕΔΟΜΕΝΑ!G79</f>
        <v>Γράφτηκε πίστωση 65000 €  για πληρωμή φόρου εισοδήματος και φόρου ΕΝΦΙΑ του Κέντρου .</v>
      </c>
      <c r="D139" s="218"/>
      <c r="E139" s="218"/>
      <c r="F139" s="218"/>
      <c r="G139" s="218"/>
      <c r="H139" s="218"/>
      <c r="I139" s="218"/>
      <c r="J139" s="218"/>
      <c r="K139" s="104"/>
      <c r="L139" s="104"/>
      <c r="M139" s="104"/>
      <c r="N139" s="104"/>
      <c r="O139" s="104"/>
      <c r="P139" s="104"/>
      <c r="Q139" s="104"/>
    </row>
    <row r="140" spans="1:17" ht="12.75" customHeight="1">
      <c r="A140" s="115" t="s">
        <v>756</v>
      </c>
      <c r="B140" s="108" t="s">
        <v>117</v>
      </c>
      <c r="C140" s="217" t="str">
        <f>ΠΑΡΑΜΕΤΡΟΙ!B7&amp;" "&amp;ΔΕΔΟΜΕΝΑ!A81&amp;""&amp;ΔΕΔΟΜΕΝΑ!B81</f>
        <v>Στον Κ.Α 1129Προμήθεια σκευών μαγειρείων και εστίασης που δεν κατονομάζονται ειδικά.</v>
      </c>
      <c r="D140" s="217"/>
      <c r="E140" s="217"/>
      <c r="F140" s="217"/>
      <c r="G140" s="217"/>
      <c r="H140" s="217"/>
      <c r="I140" s="217"/>
      <c r="J140" s="217"/>
      <c r="K140" s="104"/>
      <c r="L140" s="104"/>
      <c r="M140" s="104"/>
      <c r="N140" s="104"/>
      <c r="O140" s="104"/>
      <c r="P140" s="104"/>
      <c r="Q140" s="104"/>
    </row>
    <row r="141" spans="1:17" ht="15" customHeight="1">
      <c r="A141" s="115"/>
      <c r="B141" s="108"/>
      <c r="C141" s="218" t="str">
        <f>ΠΑΡΑΜΕΤΡΟΙ!$B$5&amp;" "&amp;ΔΕΔΟΜΕΝΑ!C81&amp;" € "&amp;ΔΕΔΟΜΕΝΑ!G81</f>
        <v>Γράφτηκε πίστωση 16000 €  για προμήθεια σκευών μαγειρείου και εστίασης.</v>
      </c>
      <c r="D141" s="218"/>
      <c r="E141" s="218"/>
      <c r="F141" s="218"/>
      <c r="G141" s="218"/>
      <c r="H141" s="218"/>
      <c r="I141" s="218"/>
      <c r="J141" s="218"/>
      <c r="K141" s="104"/>
      <c r="L141" s="104"/>
      <c r="M141" s="104"/>
      <c r="N141" s="104"/>
      <c r="O141" s="104"/>
      <c r="P141" s="104"/>
      <c r="Q141" s="104"/>
    </row>
    <row r="142" spans="1:17" ht="12.75" hidden="1">
      <c r="A142" s="115" t="e">
        <f>A140+1</f>
        <v>#VALUE!</v>
      </c>
      <c r="B142" s="108" t="s">
        <v>117</v>
      </c>
      <c r="C142" s="217" t="str">
        <f>ΠΑΡΑΜΕΤΡΟΙ!B7&amp;" "&amp;ΔΕΔΟΜΕΝΑ!A83&amp;""&amp;ΔΕΔΟΜΕΝΑ!B83</f>
        <v>Στον Κ.Α 1139Προμήθεια κλινοστρωμάτων και ειδών κατασκήνωσης που δεν κατονομάζονται ειδικά</v>
      </c>
      <c r="D142" s="217"/>
      <c r="E142" s="217"/>
      <c r="F142" s="217"/>
      <c r="G142" s="217"/>
      <c r="H142" s="217"/>
      <c r="I142" s="217"/>
      <c r="J142" s="217"/>
      <c r="K142" s="104"/>
      <c r="L142" s="104"/>
      <c r="M142" s="104"/>
      <c r="N142" s="104"/>
      <c r="O142" s="104"/>
      <c r="P142" s="104"/>
      <c r="Q142" s="104"/>
    </row>
    <row r="143" spans="1:17" ht="12.75">
      <c r="A143" s="115" t="s">
        <v>757</v>
      </c>
      <c r="B143" s="108" t="s">
        <v>117</v>
      </c>
      <c r="C143" s="217" t="str">
        <f>ΠΑΡΑΜΕΤΡΟΙ!$B$7&amp;" "&amp;ΔΕΔΟΜΕΝΑ!A83&amp;" "&amp;ΔΕΔΟΜΕΝΑ!B83</f>
        <v>Στον Κ.Α 1139 Προμήθεια κλινοστρωμάτων και ειδών κατασκήνωσης που δεν κατονομάζονται ειδικά</v>
      </c>
      <c r="D143" s="217"/>
      <c r="E143" s="217"/>
      <c r="F143" s="217"/>
      <c r="G143" s="217"/>
      <c r="H143" s="217"/>
      <c r="I143" s="217"/>
      <c r="J143" s="109"/>
      <c r="K143" s="104"/>
      <c r="L143" s="104"/>
      <c r="M143" s="104"/>
      <c r="N143" s="104"/>
      <c r="O143" s="104"/>
      <c r="P143" s="104"/>
      <c r="Q143" s="104"/>
    </row>
    <row r="144" spans="1:17" ht="12.75">
      <c r="A144" s="115"/>
      <c r="B144" s="108"/>
      <c r="C144" s="218" t="str">
        <f>ΠΑΡΑΜΕΤΡΟΙ!$B$5&amp;" "&amp;ΔΕΔΟΜΕΝΑ!C83&amp;" € "&amp;ΔΕΔΟΜΕΝΑ!G83</f>
        <v>Γράφτηκε πίστωση 2400 €  για προμήθεια κλινοστρωμάτων .</v>
      </c>
      <c r="D144" s="218"/>
      <c r="E144" s="218"/>
      <c r="F144" s="218"/>
      <c r="G144" s="218"/>
      <c r="H144" s="218"/>
      <c r="I144" s="218"/>
      <c r="J144" s="109"/>
      <c r="K144" s="104"/>
      <c r="L144" s="104"/>
      <c r="M144" s="104"/>
      <c r="N144" s="104"/>
      <c r="O144" s="104"/>
      <c r="P144" s="104"/>
      <c r="Q144" s="104"/>
    </row>
    <row r="145" spans="1:17" ht="15" customHeight="1" hidden="1">
      <c r="A145" s="115"/>
      <c r="B145" s="108"/>
      <c r="C145" s="218" t="str">
        <f>ΠΑΡΑΜΕΤΡΟΙ!$B$5&amp;" "&amp;ΔΕΔΟΜΕΝΑ!C83&amp;" € "&amp;ΔΕΔΟΜΕΝΑ!G83</f>
        <v>Γράφτηκε πίστωση 2400 €  για προμήθεια κλινοστρωμάτων .</v>
      </c>
      <c r="D145" s="218"/>
      <c r="E145" s="218"/>
      <c r="F145" s="218"/>
      <c r="G145" s="218"/>
      <c r="H145" s="218"/>
      <c r="I145" s="218"/>
      <c r="J145" s="218"/>
      <c r="K145" s="104"/>
      <c r="L145" s="104"/>
      <c r="M145" s="104"/>
      <c r="N145" s="104"/>
      <c r="O145" s="104"/>
      <c r="P145" s="104"/>
      <c r="Q145" s="104"/>
    </row>
    <row r="146" spans="1:17" ht="12.75">
      <c r="A146" s="116" t="s">
        <v>758</v>
      </c>
      <c r="B146" s="111" t="s">
        <v>117</v>
      </c>
      <c r="C146" s="217" t="str">
        <f>ΠΑΡΑΜΕΤΡΟΙ!B7&amp;""&amp;ΔΕΔΟΜΕΝΑ!A87&amp;""&amp;ΔΕΔΟΜΕΝΑ!B87</f>
        <v>Στον Κ.Α1261Προμήθεια γραφικής ύλης και μικροαντικειμένων γραφείου γενικά</v>
      </c>
      <c r="D146" s="217"/>
      <c r="E146" s="217"/>
      <c r="F146" s="217"/>
      <c r="G146" s="217"/>
      <c r="H146" s="217"/>
      <c r="I146" s="217"/>
      <c r="J146" s="217"/>
      <c r="K146" s="104"/>
      <c r="L146" s="104"/>
      <c r="M146" s="104"/>
      <c r="N146" s="104"/>
      <c r="O146" s="104"/>
      <c r="P146" s="104"/>
      <c r="Q146" s="104"/>
    </row>
    <row r="147" spans="1:17" ht="15" customHeight="1">
      <c r="A147" s="104"/>
      <c r="B147" s="108"/>
      <c r="C147" s="218" t="str">
        <f>ΠΑΡΑΜΕΤΡΟΙ!$B$5&amp;" "&amp;ΔΕΔΟΜΕΝΑ!C87&amp;" € "&amp;ΔΕΔΟΜΕΝΑ!G87</f>
        <v>Γράφτηκε πίστωση 20500 €  για να καλύψει τις ανάγκες της διοικητικής υπηρεσίας του κέντρου και των άλλων τμημάτων του Κέντρου.</v>
      </c>
      <c r="D147" s="218"/>
      <c r="E147" s="218"/>
      <c r="F147" s="218"/>
      <c r="G147" s="218"/>
      <c r="H147" s="218"/>
      <c r="I147" s="218"/>
      <c r="J147" s="218"/>
      <c r="K147" s="104"/>
      <c r="L147" s="104"/>
      <c r="M147" s="104"/>
      <c r="N147" s="104"/>
      <c r="O147" s="104"/>
      <c r="P147" s="104"/>
      <c r="Q147" s="104"/>
    </row>
    <row r="148" spans="1:17" ht="15" customHeight="1">
      <c r="A148" s="116">
        <v>34</v>
      </c>
      <c r="B148" s="111" t="s">
        <v>117</v>
      </c>
      <c r="C148" s="217" t="str">
        <f>ΠΑΡΑΜΕΤΡΟΙ!$B$7&amp;" "&amp;ΔΕΔΟΜΕΝΑ!A89&amp;" "&amp;ΔΕΔΟΜΕΝΑ!B89</f>
        <v>Στον Κ.Α 1292.01 Προμήθεια ηλεκτρικών λαμπτήρων</v>
      </c>
      <c r="D148" s="217"/>
      <c r="E148" s="217"/>
      <c r="F148" s="217"/>
      <c r="G148" s="217"/>
      <c r="H148" s="217"/>
      <c r="I148" s="217"/>
      <c r="J148" s="217"/>
      <c r="K148" s="104"/>
      <c r="L148" s="104"/>
      <c r="M148" s="104"/>
      <c r="N148" s="104"/>
      <c r="O148" s="104"/>
      <c r="P148" s="104"/>
      <c r="Q148" s="104"/>
    </row>
    <row r="149" spans="1:17" ht="15" customHeight="1">
      <c r="A149" s="115"/>
      <c r="B149" s="108"/>
      <c r="C149" s="218" t="str">
        <f>ΠΑΡΑΜΕΤΡΟΙ!$B$5&amp;" "&amp;ΔΕΔΟΜΕΝΑ!C89&amp;" € "&amp;ΔΕΔΟΜΕΝΑ!G89</f>
        <v>Γράφτηκε πίστωση 500 €  για προμήθεια ηλεκτρικών λαμπτήρων για τις ανάγκες του Κέντρου.</v>
      </c>
      <c r="D149" s="218"/>
      <c r="E149" s="218"/>
      <c r="F149" s="218"/>
      <c r="G149" s="218"/>
      <c r="H149" s="218"/>
      <c r="I149" s="218"/>
      <c r="J149" s="218"/>
      <c r="K149" s="104"/>
      <c r="L149" s="104"/>
      <c r="M149" s="104"/>
      <c r="N149" s="104"/>
      <c r="O149" s="104"/>
      <c r="P149" s="104"/>
      <c r="Q149" s="104"/>
    </row>
    <row r="150" spans="1:17" ht="12.75" hidden="1">
      <c r="A150" s="116" t="s">
        <v>620</v>
      </c>
      <c r="B150" s="111" t="s">
        <v>117</v>
      </c>
      <c r="C150" s="217" t="e">
        <f>ΠΑΡΑΜΕΤΡΟΙ!$B$7&amp;" "&amp;ΔΕΔΟΜΕΝΑ!#REF!&amp;" "&amp;ΔΕΔΟΜΕΝΑ!#REF!</f>
        <v>#REF!</v>
      </c>
      <c r="D150" s="217"/>
      <c r="E150" s="217"/>
      <c r="F150" s="217"/>
      <c r="G150" s="217"/>
      <c r="H150" s="217"/>
      <c r="I150" s="217"/>
      <c r="J150" s="217"/>
      <c r="K150" s="104"/>
      <c r="L150" s="104"/>
      <c r="M150" s="104"/>
      <c r="N150" s="104"/>
      <c r="O150" s="104"/>
      <c r="P150" s="104"/>
      <c r="Q150" s="104"/>
    </row>
    <row r="151" spans="1:17" ht="15" customHeight="1" hidden="1">
      <c r="A151" s="115"/>
      <c r="B151" s="108"/>
      <c r="C151" s="218" t="e">
        <f>ΠΑΡΑΜΕΤΡΟΙ!$B$5&amp;" "&amp;ΔΕΔΟΜΕΝΑ!#REF!&amp;" € "&amp;ΔΕΔΟΜΕΝΑ!#REF!</f>
        <v>#REF!</v>
      </c>
      <c r="D151" s="218"/>
      <c r="E151" s="218"/>
      <c r="F151" s="218"/>
      <c r="G151" s="218"/>
      <c r="H151" s="218"/>
      <c r="I151" s="218"/>
      <c r="J151" s="218"/>
      <c r="K151" s="104"/>
      <c r="L151" s="104"/>
      <c r="M151" s="104"/>
      <c r="N151" s="104"/>
      <c r="O151" s="104"/>
      <c r="P151" s="104"/>
      <c r="Q151" s="104"/>
    </row>
    <row r="152" spans="1:17" ht="15" customHeight="1" hidden="1">
      <c r="A152" s="115" t="s">
        <v>621</v>
      </c>
      <c r="B152" s="108" t="s">
        <v>117</v>
      </c>
      <c r="C152" s="217" t="e">
        <f>ΠΑΡΑΜΕΤΡΟΙ!B7&amp;""&amp;ΔΕΔΟΜΕΝΑ!#REF!&amp;""&amp;ΔΕΔΟΜΕΝΑ!#REF!</f>
        <v>#REF!</v>
      </c>
      <c r="D152" s="217"/>
      <c r="E152" s="217"/>
      <c r="F152" s="217"/>
      <c r="G152" s="217"/>
      <c r="H152" s="217"/>
      <c r="I152" s="217"/>
      <c r="J152" s="217"/>
      <c r="K152" s="104"/>
      <c r="L152" s="104"/>
      <c r="M152" s="104"/>
      <c r="N152" s="104"/>
      <c r="O152" s="104"/>
      <c r="P152" s="104"/>
      <c r="Q152" s="104"/>
    </row>
    <row r="153" spans="1:17" ht="15" customHeight="1" hidden="1">
      <c r="A153" s="115"/>
      <c r="B153" s="108"/>
      <c r="C153" s="218" t="e">
        <f>ΠΑΡΑΜΕΤΡΟΙ!$B$5&amp;" "&amp;ΔΕΔΟΜΕΝΑ!#REF!&amp;" € "&amp;ΔΕΔΟΜΕΝΑ!#REF!</f>
        <v>#REF!</v>
      </c>
      <c r="D153" s="218"/>
      <c r="E153" s="218"/>
      <c r="F153" s="218"/>
      <c r="G153" s="218"/>
      <c r="H153" s="218"/>
      <c r="I153" s="218"/>
      <c r="J153" s="218"/>
      <c r="K153" s="104"/>
      <c r="L153" s="104"/>
      <c r="M153" s="104"/>
      <c r="N153" s="104"/>
      <c r="O153" s="104"/>
      <c r="P153" s="104"/>
      <c r="Q153" s="104"/>
    </row>
    <row r="154" spans="1:17" ht="15" customHeight="1">
      <c r="A154" s="115">
        <v>35</v>
      </c>
      <c r="B154" s="108"/>
      <c r="C154" s="217" t="str">
        <f>ΠΑΡΑΜΕΤΡΟΙ!$B$7&amp;" "&amp;ΔΕΔΟΜΕΝΑ!A91&amp;" "&amp;ΔΕΔΟΜΕΝΑ!B91</f>
        <v>Στον Κ.Α 1311 Προμήθεια υγειονομικού υλικού</v>
      </c>
      <c r="D154" s="217"/>
      <c r="E154" s="217"/>
      <c r="F154" s="217"/>
      <c r="G154" s="217"/>
      <c r="H154" s="217"/>
      <c r="I154" s="217"/>
      <c r="J154" s="111"/>
      <c r="K154" s="104"/>
      <c r="L154" s="104"/>
      <c r="M154" s="104"/>
      <c r="N154" s="104"/>
      <c r="O154" s="104"/>
      <c r="P154" s="104"/>
      <c r="Q154" s="104"/>
    </row>
    <row r="155" spans="1:17" ht="15" customHeight="1">
      <c r="A155" s="115"/>
      <c r="B155" s="108"/>
      <c r="C155" s="218" t="str">
        <f>ΠΑΡΑΜΕΤΡΟΙ!$B$5&amp;" "&amp;ΔΕΔΟΜΕΝΑ!C91&amp;" € "&amp;ΔΕΔΟΜΕΝΑ!G91</f>
        <v>Γράφτηκε πίστωση 55000 €  προμήθεια υγειονομικού υλικού για τις ανάγκες του Κέντρου.</v>
      </c>
      <c r="D155" s="218"/>
      <c r="E155" s="218"/>
      <c r="F155" s="218"/>
      <c r="G155" s="218"/>
      <c r="H155" s="218"/>
      <c r="I155" s="218"/>
      <c r="J155" s="111"/>
      <c r="K155" s="104"/>
      <c r="L155" s="104"/>
      <c r="M155" s="104"/>
      <c r="N155" s="104"/>
      <c r="O155" s="104"/>
      <c r="P155" s="104"/>
      <c r="Q155" s="104"/>
    </row>
    <row r="156" spans="1:17" ht="12.75">
      <c r="A156" s="115">
        <v>36</v>
      </c>
      <c r="B156" s="108" t="s">
        <v>117</v>
      </c>
      <c r="C156" s="217" t="str">
        <f>ΠΑΡΑΜΕΤΡΟΙ!B7&amp;""&amp;ΔΕΔΟΜΕΝΑ!A93&amp;""&amp;ΔΕΔΟΜΕΝΑ!B93</f>
        <v>Στον Κ.Α1312Προμήθεια φαρμακευτικού υλικού</v>
      </c>
      <c r="D156" s="217"/>
      <c r="E156" s="217"/>
      <c r="F156" s="217"/>
      <c r="G156" s="217"/>
      <c r="H156" s="217"/>
      <c r="I156" s="217"/>
      <c r="J156" s="217"/>
      <c r="K156" s="104"/>
      <c r="L156" s="104"/>
      <c r="M156" s="104"/>
      <c r="N156" s="104"/>
      <c r="O156" s="104"/>
      <c r="P156" s="104"/>
      <c r="Q156" s="104"/>
    </row>
    <row r="157" spans="1:17" ht="48.75" customHeight="1">
      <c r="A157" s="115"/>
      <c r="B157" s="108"/>
      <c r="C157" s="218" t="str">
        <f>ΠΑΡΑΜΕΤΡΟΙ!$B$5&amp;" "&amp;ΔΕΔΟΜΕΝΑ!C93&amp;" € "&amp;ΔΕΔΟΜΕΝΑ!G93</f>
        <v>Γράφτηκε πίστωση 310000 €  για αγορά φαρμάκων  για τους περιθαλπόμενους του Κέντρου .  Ήδη το 2016 η δαπάνη έχει ανέλθει στο ποσό των 285.000 ευρώ.  Το Κέντρο περιθάλπει 700 περιθαλπόμενους με βαριές/πολλαπλές αναπηρίες, κατάκοιτους, ηλικιωμένους, χρόνια πάσχοντες, καρκινοπαθείς κλπ.  Το 2015 από λάθος του λογιστηρίου δεν είχαν προωθηθεί προς πληρωμή τιμολόγια φαρμάκων πολλών μηνών, με αποτέλεσμα να εμφανίζει ο ΚΑΕ μικρό ύψος.  Τα τιμολόγια πληρώθηκαν όλα μέσα στο 2016, το οποίο θα αποτυπωθεί στον σχετικό απολογισμό 2016.</v>
      </c>
      <c r="D157" s="218"/>
      <c r="E157" s="218"/>
      <c r="F157" s="218"/>
      <c r="G157" s="218"/>
      <c r="H157" s="218"/>
      <c r="I157" s="218"/>
      <c r="J157" s="218"/>
      <c r="K157" s="104"/>
      <c r="L157" s="104"/>
      <c r="M157" s="104"/>
      <c r="N157" s="104"/>
      <c r="O157" s="104"/>
      <c r="P157" s="104"/>
      <c r="Q157" s="104"/>
    </row>
    <row r="158" spans="1:17" ht="12.75">
      <c r="A158" s="115">
        <v>38</v>
      </c>
      <c r="B158" s="108" t="s">
        <v>117</v>
      </c>
      <c r="C158" s="217" t="str">
        <f>ΠΑΡΑΜΕΤΡΟΙ!B7&amp;""&amp;ΔΕΔΟΜΕΝΑ!A95&amp;""&amp;ΔΕΔΟΜΕΝΑ!B95</f>
        <v>Στον Κ.Α1352Προμήθεια χημικού υλικού για πυροσβεστήρες</v>
      </c>
      <c r="D158" s="217"/>
      <c r="E158" s="217"/>
      <c r="F158" s="217"/>
      <c r="G158" s="217"/>
      <c r="H158" s="217"/>
      <c r="I158" s="217"/>
      <c r="J158" s="217"/>
      <c r="K158" s="104"/>
      <c r="L158" s="104"/>
      <c r="M158" s="104"/>
      <c r="N158" s="104"/>
      <c r="O158" s="104"/>
      <c r="P158" s="104"/>
      <c r="Q158" s="104"/>
    </row>
    <row r="159" spans="1:17" ht="15" customHeight="1">
      <c r="A159" s="115"/>
      <c r="B159" s="108"/>
      <c r="C159" s="218" t="str">
        <f>ΠΑΡΑΜΕΤΡΟΙ!$B$5&amp;" "&amp;ΔΕΔΟΜΕΝΑ!C95&amp;" € "&amp;ΔΕΔΟΜΕΝΑ!G95</f>
        <v>Γράφτηκε πίστωση 3000 €  για την αναγόμωση των πυροσβεστήρων του Κέντρου.</v>
      </c>
      <c r="D159" s="218"/>
      <c r="E159" s="218"/>
      <c r="F159" s="218"/>
      <c r="G159" s="218"/>
      <c r="H159" s="218"/>
      <c r="I159" s="218"/>
      <c r="J159" s="218"/>
      <c r="K159" s="104"/>
      <c r="L159" s="104"/>
      <c r="M159" s="104"/>
      <c r="N159" s="104"/>
      <c r="O159" s="104"/>
      <c r="P159" s="104"/>
      <c r="Q159" s="104"/>
    </row>
    <row r="160" spans="1:17" ht="12.75">
      <c r="A160" s="115">
        <v>39</v>
      </c>
      <c r="B160" s="108" t="s">
        <v>117</v>
      </c>
      <c r="C160" s="217" t="str">
        <f>ΠΑΡΑΜΕΤΡΟΙ!B7&amp;""&amp;ΔΕΔΟΜΕΝΑ!A97&amp;""&amp;ΔΕΔΟΜΕΝΑ!B97</f>
        <v>Στον Κ.Α1381Προμήθεια ειδών καθαριότητας και ευπρεπισμού</v>
      </c>
      <c r="D160" s="217"/>
      <c r="E160" s="217"/>
      <c r="F160" s="217"/>
      <c r="G160" s="217"/>
      <c r="H160" s="217"/>
      <c r="I160" s="217"/>
      <c r="J160" s="217"/>
      <c r="K160" s="104"/>
      <c r="L160" s="104"/>
      <c r="M160" s="104"/>
      <c r="N160" s="104"/>
      <c r="O160" s="104"/>
      <c r="P160" s="104"/>
      <c r="Q160" s="104"/>
    </row>
    <row r="161" spans="1:17" ht="15" customHeight="1">
      <c r="A161" s="115"/>
      <c r="B161" s="108"/>
      <c r="C161" s="218" t="str">
        <f>ΠΑΡΑΜΕΤΡΟΙ!$B$5&amp;" "&amp;ΔΕΔΟΜΕΝΑ!C97&amp;" € "&amp;ΔΕΔΟΜΕΝΑ!G97</f>
        <v>Γράφτηκε πίστωση 260000 €  για προμήθεια ειδών καθαριότητας.</v>
      </c>
      <c r="D161" s="218"/>
      <c r="E161" s="218"/>
      <c r="F161" s="218"/>
      <c r="G161" s="218"/>
      <c r="H161" s="218"/>
      <c r="I161" s="218"/>
      <c r="J161" s="218"/>
      <c r="K161" s="104"/>
      <c r="L161" s="104"/>
      <c r="M161" s="104"/>
      <c r="N161" s="104"/>
      <c r="O161" s="104"/>
      <c r="P161" s="104"/>
      <c r="Q161" s="104"/>
    </row>
    <row r="162" spans="1:17" ht="12.75" customHeight="1">
      <c r="A162" s="115">
        <v>41</v>
      </c>
      <c r="B162" s="108" t="s">
        <v>117</v>
      </c>
      <c r="C162" s="217" t="str">
        <f>ΠΑΡΑΜΕΤΡΟΙ!$B$7&amp;" "&amp;ΔΕΔΟΜΕΝΑ!A98&amp;" "&amp;ΔΕΔΟΜΕΝΑ!B98</f>
        <v>Στον Κ.Α 1413 Προμήθεια ειδών συντήρησης  και επισκευής κτιρίων γενικά</v>
      </c>
      <c r="D162" s="217"/>
      <c r="E162" s="217"/>
      <c r="F162" s="217"/>
      <c r="G162" s="217"/>
      <c r="H162" s="217"/>
      <c r="I162" s="217"/>
      <c r="J162" s="217"/>
      <c r="K162" s="118"/>
      <c r="L162" s="118"/>
      <c r="M162" s="118"/>
      <c r="N162" s="118"/>
      <c r="O162" s="118"/>
      <c r="P162" s="118"/>
      <c r="Q162" s="118"/>
    </row>
    <row r="163" spans="1:17" ht="15" customHeight="1">
      <c r="A163" s="115"/>
      <c r="B163" s="108"/>
      <c r="C163" s="218" t="str">
        <f>ΠΑΡΑΜΕΤΡΟΙ!$B$5&amp;" "&amp;ΔΕΔΟΜΕΝΑ!C98&amp;" € "&amp;ΔΕΔΟΜΕΝΑ!G98</f>
        <v>Γράφτηκε πίστωση 10000 €   διότι λόγω παλαιότητας των κτιρίων του Κέντρου, γίνεται συχνή συντήρηση και επισκευή των μονίμων εγκαταστάσεων.</v>
      </c>
      <c r="D163" s="218"/>
      <c r="E163" s="218"/>
      <c r="F163" s="218"/>
      <c r="G163" s="218"/>
      <c r="H163" s="218"/>
      <c r="I163" s="218"/>
      <c r="J163" s="218"/>
      <c r="K163" s="104"/>
      <c r="L163" s="104"/>
      <c r="M163" s="104"/>
      <c r="N163" s="104"/>
      <c r="O163" s="104"/>
      <c r="P163" s="104"/>
      <c r="Q163" s="104"/>
    </row>
    <row r="164" spans="1:17" ht="12.75" customHeight="1">
      <c r="A164" s="115">
        <v>42</v>
      </c>
      <c r="B164" s="108" t="s">
        <v>117</v>
      </c>
      <c r="C164" s="223" t="str">
        <f>ΠΑΡΑΜΕΤΡΟΙ!B7&amp;""&amp;ΔΕΔΟΜΕΝΑ!A99&amp;""&amp;ΔΕΔΟΜΕΝΑ!B99</f>
        <v>Στον Κ.Α1429Προμήθεια ειδών συντήρησης και επισκευής λοιπών μονίμων εγκαταστάσεων</v>
      </c>
      <c r="D164" s="223"/>
      <c r="E164" s="223"/>
      <c r="F164" s="223"/>
      <c r="G164" s="223"/>
      <c r="H164" s="223"/>
      <c r="I164" s="223"/>
      <c r="J164" s="223"/>
      <c r="K164" s="118"/>
      <c r="L164" s="118"/>
      <c r="M164" s="118"/>
      <c r="N164" s="118"/>
      <c r="O164" s="118"/>
      <c r="P164" s="118"/>
      <c r="Q164" s="118"/>
    </row>
    <row r="165" spans="1:17" ht="15" customHeight="1">
      <c r="A165" s="115"/>
      <c r="B165" s="108"/>
      <c r="C165" s="218" t="str">
        <f>ΠΑΡΑΜΕΤΡΟΙ!$B$5&amp;" "&amp;ΔΕΔΟΜΕΝΑ!C99&amp;" € "&amp;ΔΕΔΟΜΕΝΑ!G99</f>
        <v>Γράφτηκε πίστωση 105000 €   διότι λόγω παλαιότητας των κτιρίων του Κέντρου, γίνεται συχνή συντήρηση και επισκευή των μονίμων εγκαταστάσεων.</v>
      </c>
      <c r="D165" s="218"/>
      <c r="E165" s="218"/>
      <c r="F165" s="218"/>
      <c r="G165" s="218"/>
      <c r="H165" s="218"/>
      <c r="I165" s="218"/>
      <c r="J165" s="218"/>
      <c r="K165" s="104"/>
      <c r="L165" s="104"/>
      <c r="M165" s="104"/>
      <c r="N165" s="104"/>
      <c r="O165" s="104"/>
      <c r="P165" s="104"/>
      <c r="Q165" s="104"/>
    </row>
    <row r="166" spans="1:17" ht="15.75" customHeight="1">
      <c r="A166" s="115">
        <v>44</v>
      </c>
      <c r="B166" s="108" t="s">
        <v>117</v>
      </c>
      <c r="C166" s="217" t="str">
        <f>ΠΑΡΑΜΕΤΡΟΙ!$B$7&amp;" "&amp;ΔΕΔΟΜΕΝΑ!A100&amp;" "&amp;ΔΕΔΟΜΕΝΑ!B100</f>
        <v>Στον Κ.Α 1431 Προμήθεια ειδών συντήρησης και επισκευής μεταφορικών μέσων ξηράς.</v>
      </c>
      <c r="D166" s="217"/>
      <c r="E166" s="217"/>
      <c r="F166" s="217"/>
      <c r="G166" s="217"/>
      <c r="H166" s="217"/>
      <c r="I166" s="217"/>
      <c r="J166" s="217"/>
      <c r="K166" s="104"/>
      <c r="L166" s="104"/>
      <c r="M166" s="104"/>
      <c r="N166" s="104"/>
      <c r="O166" s="104"/>
      <c r="P166" s="104"/>
      <c r="Q166" s="104"/>
    </row>
    <row r="167" spans="1:17" ht="15" customHeight="1">
      <c r="A167" s="115"/>
      <c r="B167" s="108"/>
      <c r="C167" s="218" t="str">
        <f>ΠΑΡΑΜΕΤΡΟΙ!$B$5&amp;" "&amp;ΔΕΔΟΜΕΝΑ!C100&amp;" € "&amp;ΔΕΔΟΜΕΝΑ!G100</f>
        <v>Γράφτηκε πίστωση 10000 €  για προμήθεια υλικών που θα χρησιμοποιηθούν για την επισκευή των αυτοκινήτων τουΚέντρου.</v>
      </c>
      <c r="D167" s="218"/>
      <c r="E167" s="218"/>
      <c r="F167" s="218"/>
      <c r="G167" s="218"/>
      <c r="H167" s="218"/>
      <c r="I167" s="218"/>
      <c r="J167" s="218"/>
      <c r="K167" s="104"/>
      <c r="L167" s="104"/>
      <c r="M167" s="104"/>
      <c r="N167" s="104"/>
      <c r="O167" s="104"/>
      <c r="P167" s="104"/>
      <c r="Q167" s="104"/>
    </row>
    <row r="168" spans="1:17" ht="12.75">
      <c r="A168" s="115">
        <v>45</v>
      </c>
      <c r="B168" s="108" t="s">
        <v>117</v>
      </c>
      <c r="C168" s="217" t="str">
        <f>ΠΑΡΑΜΕΤΡΟΙ!B7&amp;""&amp;ΔΕΔΟΜΕΝΑ!A101&amp;""&amp;ΔΕΔΟΜΕΝΑ!B101</f>
        <v>Στον Κ.Α1435Προμήθεια ελαστικών</v>
      </c>
      <c r="D168" s="217"/>
      <c r="E168" s="217"/>
      <c r="F168" s="217"/>
      <c r="G168" s="217"/>
      <c r="H168" s="217"/>
      <c r="I168" s="217"/>
      <c r="J168" s="217"/>
      <c r="K168" s="104"/>
      <c r="L168" s="104"/>
      <c r="M168" s="104"/>
      <c r="N168" s="104"/>
      <c r="O168" s="104"/>
      <c r="P168" s="104"/>
      <c r="Q168" s="104"/>
    </row>
    <row r="169" spans="1:17" ht="15" customHeight="1">
      <c r="A169" s="115"/>
      <c r="B169" s="108"/>
      <c r="C169" s="218" t="str">
        <f>ΠΑΡΑΜΕΤΡΟΙ!$B$5&amp;" "&amp;ΔΕΔΟΜΕΝΑ!C101&amp;" € "&amp;ΔΕΔΟΜΕΝΑ!G101</f>
        <v>Γράφτηκε πίστωση 5000 €  για αλλαγή των ελαστικών των αυτοκινήτων του Κέντρου.</v>
      </c>
      <c r="D169" s="218"/>
      <c r="E169" s="218"/>
      <c r="F169" s="218"/>
      <c r="G169" s="218"/>
      <c r="H169" s="218"/>
      <c r="I169" s="218"/>
      <c r="J169" s="218"/>
      <c r="K169" s="104"/>
      <c r="L169" s="104"/>
      <c r="M169" s="104"/>
      <c r="N169" s="104"/>
      <c r="O169" s="104"/>
      <c r="P169" s="104"/>
      <c r="Q169" s="104"/>
    </row>
    <row r="170" spans="1:17" ht="12.75">
      <c r="A170" s="115">
        <v>46</v>
      </c>
      <c r="B170" s="108" t="s">
        <v>117</v>
      </c>
      <c r="C170" s="217" t="str">
        <f>ΠΑΡΑΜΕΤΡΟΙ!B7&amp;""&amp;ΔΕΔΟΜΕΝΑ!A103&amp;""&amp;ΔΕΔΟΜΕΝΑ!B103</f>
        <v>Στον Κ.Α1439Λοιπές προμήθειες ειδών συντήρησης και επισκευής μηχανικού και λοιπού εξοπλισμού</v>
      </c>
      <c r="D170" s="217"/>
      <c r="E170" s="217"/>
      <c r="F170" s="217"/>
      <c r="G170" s="217"/>
      <c r="H170" s="217"/>
      <c r="I170" s="217"/>
      <c r="J170" s="217"/>
      <c r="K170" s="104"/>
      <c r="L170" s="104"/>
      <c r="M170" s="104"/>
      <c r="N170" s="104"/>
      <c r="O170" s="104"/>
      <c r="P170" s="104"/>
      <c r="Q170" s="104"/>
    </row>
    <row r="171" spans="1:17" ht="15" customHeight="1">
      <c r="A171" s="115"/>
      <c r="B171" s="108"/>
      <c r="C171" s="218" t="str">
        <f>ΠΑΡΑΜΕΤΡΟΙ!$B$5&amp;" "&amp;ΔΕΔΟΜΕΝΑ!C103&amp;" € "&amp;ΔΕΔΟΜΕΝΑ!G103</f>
        <v>Γράφτηκε πίστωση 5000 €  για προμήθεια ανταλακτικών , μηχανικού και λοιπού εξοπλισμού του κέντρου.</v>
      </c>
      <c r="D171" s="218"/>
      <c r="E171" s="218"/>
      <c r="F171" s="218"/>
      <c r="G171" s="218"/>
      <c r="H171" s="218"/>
      <c r="I171" s="218"/>
      <c r="J171" s="218"/>
      <c r="K171" s="104"/>
      <c r="L171" s="104"/>
      <c r="M171" s="104"/>
      <c r="N171" s="104"/>
      <c r="O171" s="104"/>
      <c r="P171" s="104"/>
      <c r="Q171" s="104"/>
    </row>
    <row r="172" spans="1:17" ht="14.25" customHeight="1" hidden="1">
      <c r="A172" s="115">
        <v>62</v>
      </c>
      <c r="B172" s="108" t="s">
        <v>117</v>
      </c>
      <c r="C172" s="217" t="e">
        <f>ΠΑΡΑΜΕΤΡΟΙ!B7&amp;""&amp;ΔΕΔΟΜΕΝΑ!#REF!&amp;""&amp;ΔΕΔΟΜΕΝΑ!#REF!</f>
        <v>#REF!</v>
      </c>
      <c r="D172" s="217"/>
      <c r="E172" s="217"/>
      <c r="F172" s="217"/>
      <c r="G172" s="217"/>
      <c r="H172" s="217"/>
      <c r="I172" s="217"/>
      <c r="J172" s="217"/>
      <c r="K172" s="104"/>
      <c r="L172" s="104"/>
      <c r="M172" s="104"/>
      <c r="N172" s="104"/>
      <c r="O172" s="104"/>
      <c r="P172" s="104"/>
      <c r="Q172" s="104"/>
    </row>
    <row r="173" spans="1:17" ht="15" customHeight="1" hidden="1">
      <c r="A173" s="115"/>
      <c r="B173" s="108"/>
      <c r="C173" s="218" t="e">
        <f>ΠΑΡΑΜΕΤΡΟΙ!$B$5&amp;" "&amp;ΔΕΔΟΜΕΝΑ!#REF!&amp;" € "&amp;ΔΕΔΟΜΕΝΑ!#REF!</f>
        <v>#REF!</v>
      </c>
      <c r="D173" s="218"/>
      <c r="E173" s="218"/>
      <c r="F173" s="218"/>
      <c r="G173" s="218"/>
      <c r="H173" s="218"/>
      <c r="I173" s="218"/>
      <c r="J173" s="218"/>
      <c r="K173" s="104"/>
      <c r="L173" s="104"/>
      <c r="M173" s="104"/>
      <c r="N173" s="104"/>
      <c r="O173" s="104"/>
      <c r="P173" s="104"/>
      <c r="Q173" s="104"/>
    </row>
    <row r="174" spans="1:17" ht="12.75">
      <c r="A174" s="115">
        <v>47</v>
      </c>
      <c r="B174" s="108" t="s">
        <v>117</v>
      </c>
      <c r="C174" s="217" t="str">
        <f>ΠΑΡΑΜΕΤΡΟΙ!B7&amp;""&amp;ΔΕΔΟΜΕΝΑ!A104&amp;""&amp;ΔΕΔΟΜΕΝΑ!B104</f>
        <v>Στον Κ.Α1511Προμήθεια τροφίμων, ποτών, καπνού</v>
      </c>
      <c r="D174" s="218"/>
      <c r="E174" s="218"/>
      <c r="F174" s="218"/>
      <c r="G174" s="218"/>
      <c r="H174" s="218"/>
      <c r="I174" s="218"/>
      <c r="J174" s="218"/>
      <c r="K174" s="104"/>
      <c r="L174" s="104"/>
      <c r="M174" s="104"/>
      <c r="N174" s="104"/>
      <c r="O174" s="104"/>
      <c r="P174" s="104"/>
      <c r="Q174" s="104"/>
    </row>
    <row r="175" spans="1:17" ht="25.5" customHeight="1">
      <c r="A175" s="104"/>
      <c r="B175" s="108"/>
      <c r="C175" s="218" t="str">
        <f>ΠΑΡΑΜΕΤΡΟΙ!$B$5&amp;" "&amp;ΔΕΔΟΜΕΝΑ!C104&amp;" € "&amp;ΔΕΔΟΜΕΝΑ!G104</f>
        <v>Γράφτηκε πίστωση 735000 €  για προμήθεια τροφίμων για τη σίτιση των περιθαλπομένων του Κέντρου.   Ο ΚΑΕ παρουσιάζει αύξηση, διότι το Κέντρο έχει ιδρύσει υπό την αιγίδα του Υπ. Εργασίας και σε συνεργασία με τα Παιδικά Χωριά SOS δύο δομές φιλοξενίας ασυνόδευτων ανηλίκων προσφύγων για 40 άτομα. </v>
      </c>
      <c r="D175" s="218"/>
      <c r="E175" s="218"/>
      <c r="F175" s="218"/>
      <c r="G175" s="218"/>
      <c r="H175" s="218"/>
      <c r="I175" s="218"/>
      <c r="J175" s="218"/>
      <c r="K175" s="104"/>
      <c r="L175" s="104"/>
      <c r="M175" s="104"/>
      <c r="N175" s="104"/>
      <c r="O175" s="104"/>
      <c r="P175" s="104"/>
      <c r="Q175" s="104"/>
    </row>
    <row r="176" spans="1:17" ht="12.75">
      <c r="A176" s="104">
        <v>49</v>
      </c>
      <c r="B176" s="108" t="s">
        <v>117</v>
      </c>
      <c r="C176" s="217" t="str">
        <f>ΠΑΡΑΜΕΤΡΟΙ!B7&amp;""&amp;ΔΕΔΟΜΕΝΑ!A106&amp;""&amp;ΔΕΔΟΜΕΝΑ!B106</f>
        <v>Στον Κ.Α1529Προμήθεια ιματισμού λοιπών περιπτώσεων</v>
      </c>
      <c r="D176" s="218"/>
      <c r="E176" s="218"/>
      <c r="F176" s="218"/>
      <c r="G176" s="218"/>
      <c r="H176" s="218"/>
      <c r="I176" s="218"/>
      <c r="J176" s="218"/>
      <c r="K176" s="104"/>
      <c r="L176" s="104"/>
      <c r="M176" s="104"/>
      <c r="N176" s="104"/>
      <c r="O176" s="104"/>
      <c r="P176" s="104"/>
      <c r="Q176" s="104"/>
    </row>
    <row r="177" spans="1:17" ht="15" customHeight="1">
      <c r="A177" s="104"/>
      <c r="B177" s="108"/>
      <c r="C177" s="218" t="str">
        <f>ΠΑΡΑΜΕΤΡΟΙ!$B$5&amp;" "&amp;ΔΕΔΟΜΕΝΑ!C106&amp;" € "&amp;ΔΕΔΟΜΕΝΑ!G106</f>
        <v>Γράφτηκε πίστωση 20000 €  για αγορά ρούχων, εσωρούχων κ.λ.π για τους περιθαλπόμενους του Κέντρου, αλλά και στολών εργασίας για το προσωπικό.</v>
      </c>
      <c r="D177" s="218"/>
      <c r="E177" s="218"/>
      <c r="F177" s="218"/>
      <c r="G177" s="218"/>
      <c r="H177" s="218"/>
      <c r="I177" s="218"/>
      <c r="J177" s="218"/>
      <c r="K177" s="104"/>
      <c r="L177" s="104"/>
      <c r="M177" s="104"/>
      <c r="N177" s="104"/>
      <c r="O177" s="104"/>
      <c r="P177" s="104"/>
      <c r="Q177" s="104"/>
    </row>
    <row r="178" spans="1:17" ht="12.75">
      <c r="A178" s="104">
        <v>50</v>
      </c>
      <c r="B178" s="108" t="s">
        <v>117</v>
      </c>
      <c r="C178" s="217" t="str">
        <f>ΠΑΡΑΜΕΤΡΟΙ!B7&amp;""&amp;ΔΕΔΟΜΕΝΑ!A108&amp;""&amp;ΔΕΔΟΜΕΝΑ!B108</f>
        <v>Στον Κ.Α1531Προμήθεια υποδημάτων</v>
      </c>
      <c r="D178" s="218"/>
      <c r="E178" s="218"/>
      <c r="F178" s="218"/>
      <c r="G178" s="218"/>
      <c r="H178" s="218"/>
      <c r="I178" s="218"/>
      <c r="J178" s="111"/>
      <c r="K178" s="104"/>
      <c r="L178" s="104"/>
      <c r="M178" s="104"/>
      <c r="N178" s="104"/>
      <c r="O178" s="104"/>
      <c r="P178" s="104"/>
      <c r="Q178" s="104"/>
    </row>
    <row r="179" spans="1:17" ht="15" customHeight="1">
      <c r="A179" s="104"/>
      <c r="B179" s="108"/>
      <c r="C179" s="236" t="str">
        <f>ΠΑΡΑΜΕΤΡΟΙ!$B$5&amp;" "&amp;ΔΕΔΟΜΕΝΑ!C108&amp;" € "&amp;ΔΕΔΟΜΕΝΑ!G108</f>
        <v>Γράφτηκε πίστωση 7000 €  για αγορά παπουτσιών για τους περιθαλπόμενους του Κέντρου και παπούτσια εργασίας για το προσωπικό όπου προβλέπεται.</v>
      </c>
      <c r="D179" s="236"/>
      <c r="E179" s="236"/>
      <c r="F179" s="236"/>
      <c r="G179" s="236"/>
      <c r="H179" s="236"/>
      <c r="I179" s="236"/>
      <c r="J179" s="236"/>
      <c r="K179" s="104"/>
      <c r="L179" s="104"/>
      <c r="M179" s="104"/>
      <c r="N179" s="104"/>
      <c r="O179" s="104"/>
      <c r="P179" s="104"/>
      <c r="Q179" s="104"/>
    </row>
    <row r="180" spans="1:17" ht="12.75">
      <c r="A180" s="104">
        <f>A178+1</f>
        <v>51</v>
      </c>
      <c r="B180" s="108" t="s">
        <v>117</v>
      </c>
      <c r="C180" s="217" t="str">
        <f>ΠΑΡΑΜΕΤΡΟΙ!B7&amp;""&amp;ΔΕΔΟΜΕΝΑ!A110&amp;""&amp;ΔΕΔΟΜΕΝΑ!B110</f>
        <v>Στον Κ.Α1611Προμήθεια υγρών καυσίμων και λιπαντικών</v>
      </c>
      <c r="D180" s="217"/>
      <c r="E180" s="217"/>
      <c r="F180" s="217"/>
      <c r="G180" s="217"/>
      <c r="H180" s="217"/>
      <c r="I180" s="217"/>
      <c r="J180" s="217"/>
      <c r="K180" s="104"/>
      <c r="L180" s="104"/>
      <c r="M180" s="104"/>
      <c r="N180" s="104"/>
      <c r="O180" s="104"/>
      <c r="P180" s="104"/>
      <c r="Q180" s="104"/>
    </row>
    <row r="181" spans="1:17" ht="40.5" customHeight="1">
      <c r="A181" s="104"/>
      <c r="B181" s="108"/>
      <c r="C181" s="218" t="str">
        <f>ΠΑΡΑΜΕΤΡΟΙ!$B$5&amp;" "&amp;ΔΕΔΟΜΕΝΑ!C110&amp;" € "&amp;ΔΕΔΟΜΕΝΑ!G110</f>
        <v>Γράφτηκε πίστωση 265000 €  για προμήθεια υγρών καυσίμων (πετρέλαιο θέρμανσης σε όσα παραρτήματα δεν έχουν αέριο ακόμη και πετρέλαιο κίνησης ή βενζίνη για τα αυτοκίνητα) για τις ανάγκες του Κέντρου.</v>
      </c>
      <c r="D181" s="218"/>
      <c r="E181" s="218"/>
      <c r="F181" s="218"/>
      <c r="G181" s="218"/>
      <c r="H181" s="218"/>
      <c r="I181" s="218"/>
      <c r="J181" s="218"/>
      <c r="K181" s="104"/>
      <c r="L181" s="104"/>
      <c r="M181" s="104"/>
      <c r="N181" s="104"/>
      <c r="O181" s="104"/>
      <c r="P181" s="104"/>
      <c r="Q181" s="104"/>
    </row>
    <row r="182" spans="1:17" ht="12.75">
      <c r="A182" s="119">
        <f>A180+1</f>
        <v>52</v>
      </c>
      <c r="B182" s="120" t="s">
        <v>117</v>
      </c>
      <c r="C182" s="217" t="str">
        <f>ΠΑΡΑΜΕΤΡΟΙ!B7&amp;""&amp;ΔΕΔΟΜΕΝΑ!A111&amp;""&amp;ΔΕΔΟΜΕΝΑ!B111</f>
        <v>Στον Κ.Α2119Λοιπές επιδοτήσεις</v>
      </c>
      <c r="D182" s="217"/>
      <c r="E182" s="217"/>
      <c r="F182" s="217"/>
      <c r="G182" s="217"/>
      <c r="H182" s="217"/>
      <c r="I182" s="217"/>
      <c r="J182" s="217"/>
      <c r="K182" s="104"/>
      <c r="L182" s="104"/>
      <c r="M182" s="104"/>
      <c r="N182" s="104"/>
      <c r="O182" s="104"/>
      <c r="P182" s="104"/>
      <c r="Q182" s="104"/>
    </row>
    <row r="183" spans="1:17" ht="38.25" customHeight="1">
      <c r="A183" s="104"/>
      <c r="B183" s="108"/>
      <c r="C183" s="218" t="str">
        <f>ΠΑΡΑΜΕΤΡΟΙ!$B$5&amp;" "&amp;ΔΕΔΟΜΕΝΑ!C111&amp;" € "&amp;ΔΕΔΟΜΕΝΑ!G111</f>
        <v>Γράφτηκε πίστωση 10000 €  για τη χορήγηση επιδόματος αναδοχής σε αναδόχους γονείς, που αναλαμβάνουν τη φροντίδα περιθαλπομένων του Κέντρου.  Το Κέντρο εφαρμόζει πιλοτικό πρόγραμμα αναδοχής με βάση το ΠΔ 86/2009 (ΦΕΚ 114Α).</v>
      </c>
      <c r="D183" s="218"/>
      <c r="E183" s="218"/>
      <c r="F183" s="218"/>
      <c r="G183" s="218"/>
      <c r="H183" s="218"/>
      <c r="I183" s="218"/>
      <c r="J183" s="218"/>
      <c r="K183" s="104"/>
      <c r="L183" s="104"/>
      <c r="M183" s="104"/>
      <c r="N183" s="104"/>
      <c r="O183" s="104"/>
      <c r="P183" s="104"/>
      <c r="Q183" s="104"/>
    </row>
    <row r="184" spans="1:17" ht="12.75">
      <c r="A184" s="104">
        <f>A182+1</f>
        <v>53</v>
      </c>
      <c r="B184" s="108" t="s">
        <v>117</v>
      </c>
      <c r="C184" s="217" t="str">
        <f>ΠΑΡΑΜΕΤΡΟΙ!B7&amp;""&amp;ΔΕΔΟΜΕΝΑ!A112&amp;""&amp;ΔΕΔΟΜΕΝΑ!B112</f>
        <v>Στον Κ.Α1613Προμήθεια υγραερίων – φωταερίων</v>
      </c>
      <c r="D184" s="218"/>
      <c r="E184" s="218"/>
      <c r="F184" s="218"/>
      <c r="G184" s="218"/>
      <c r="H184" s="218"/>
      <c r="I184" s="218"/>
      <c r="J184" s="218"/>
      <c r="K184" s="104"/>
      <c r="L184" s="104"/>
      <c r="M184" s="104"/>
      <c r="N184" s="104"/>
      <c r="O184" s="104"/>
      <c r="P184" s="104"/>
      <c r="Q184" s="104"/>
    </row>
    <row r="185" spans="1:17" ht="15" customHeight="1">
      <c r="A185" s="104"/>
      <c r="B185" s="108"/>
      <c r="C185" s="218" t="str">
        <f>ΠΑΡΑΜΕΤΡΟΙ!$B$5&amp;" "&amp;ΔΕΔΟΜΕΝΑ!C112&amp;" € "&amp;ΔΕΔΟΜΕΝΑ!G112</f>
        <v>Γράφτηκε πίστωση 11000 €  για  προμήθεια υγραερίου κίνησης για τα αυτοκίνητα τουΚέντρου.</v>
      </c>
      <c r="D185" s="218"/>
      <c r="E185" s="218"/>
      <c r="F185" s="218"/>
      <c r="G185" s="218"/>
      <c r="H185" s="218"/>
      <c r="I185" s="218"/>
      <c r="J185" s="218"/>
      <c r="K185" s="104"/>
      <c r="L185" s="104"/>
      <c r="M185" s="104"/>
      <c r="N185" s="104"/>
      <c r="O185" s="104"/>
      <c r="P185" s="104"/>
      <c r="Q185" s="104"/>
    </row>
    <row r="186" spans="1:17" ht="12.75">
      <c r="A186" s="104">
        <f>A184+1</f>
        <v>54</v>
      </c>
      <c r="B186" s="108" t="s">
        <v>117</v>
      </c>
      <c r="C186" s="217" t="str">
        <f>ΠΑΡΑΜΕΤΡΟΙ!B7&amp;""&amp;ΔΕΔΟΜΕΝΑ!A114&amp;""&amp;ΔΕΔΟΜΕΝΑ!B114</f>
        <v>Στον Κ.Α1831Προμήθεια υλικού εκπαίδευσης</v>
      </c>
      <c r="D186" s="217"/>
      <c r="E186" s="217"/>
      <c r="F186" s="217"/>
      <c r="G186" s="217"/>
      <c r="H186" s="217"/>
      <c r="I186" s="217"/>
      <c r="J186" s="217"/>
      <c r="K186" s="104"/>
      <c r="L186" s="104"/>
      <c r="M186" s="104"/>
      <c r="N186" s="104"/>
      <c r="O186" s="104"/>
      <c r="P186" s="104"/>
      <c r="Q186" s="104"/>
    </row>
    <row r="187" spans="1:17" ht="15" customHeight="1">
      <c r="A187" s="104"/>
      <c r="B187" s="108"/>
      <c r="C187" s="218" t="str">
        <f>ΠΑΡΑΜΕΤΡΟΙ!$B$5&amp;" "&amp;ΔΕΔΟΜΕΝΑ!C114&amp;" € "&amp;ΔΕΔΟΜΕΝΑ!G114</f>
        <v>Γράφτηκε πίστωση 2000 €  για παιχνίδια κλπ εκπαιδευτικό υλικό</v>
      </c>
      <c r="D187" s="218"/>
      <c r="E187" s="218"/>
      <c r="F187" s="218"/>
      <c r="G187" s="218"/>
      <c r="H187" s="218"/>
      <c r="I187" s="218"/>
      <c r="J187" s="218"/>
      <c r="K187" s="104"/>
      <c r="L187" s="104"/>
      <c r="M187" s="104"/>
      <c r="N187" s="104"/>
      <c r="O187" s="104"/>
      <c r="P187" s="104"/>
      <c r="Q187" s="104"/>
    </row>
    <row r="188" spans="1:17" ht="12.75">
      <c r="A188" s="104">
        <f>A186+1</f>
        <v>55</v>
      </c>
      <c r="B188" s="108" t="s">
        <v>117</v>
      </c>
      <c r="C188" s="217" t="str">
        <f>ΠΑΡΑΜΕΤΡΟΙ!B7&amp;""&amp;ΔΕΔΟΜΕΝΑ!A116&amp;""&amp;ΔΕΔΟΜΕΝΑ!B116</f>
        <v>Στον Κ.Α1899Διάφορες προμήθειες που δεν κατονομάζονται ειδικά</v>
      </c>
      <c r="D188" s="218"/>
      <c r="E188" s="218"/>
      <c r="F188" s="218"/>
      <c r="G188" s="218"/>
      <c r="H188" s="218"/>
      <c r="I188" s="218"/>
      <c r="J188" s="218"/>
      <c r="K188" s="104"/>
      <c r="L188" s="104"/>
      <c r="M188" s="104"/>
      <c r="N188" s="104"/>
      <c r="O188" s="104"/>
      <c r="P188" s="104"/>
      <c r="Q188" s="104"/>
    </row>
    <row r="189" spans="1:17" ht="15" customHeight="1">
      <c r="A189" s="104"/>
      <c r="B189" s="108"/>
      <c r="C189" s="218" t="str">
        <f>ΠΑΡΑΜΕΤΡΟΙ!$B$5&amp;" "&amp;ΔΕΔΟΜΕΝΑ!C116&amp;" € "&amp;ΔΕΔΟΜΕΝΑ!G116</f>
        <v>Γράφτηκε πίστωση 17000 €  για διάφορες προμήθειες που δεν συμπεριλαμβάνονται σε άλλους Κ.Α.</v>
      </c>
      <c r="D189" s="218"/>
      <c r="E189" s="218"/>
      <c r="F189" s="218"/>
      <c r="G189" s="218"/>
      <c r="H189" s="218"/>
      <c r="I189" s="218"/>
      <c r="J189" s="218"/>
      <c r="K189" s="104"/>
      <c r="L189" s="104"/>
      <c r="M189" s="104"/>
      <c r="N189" s="104"/>
      <c r="O189" s="104"/>
      <c r="P189" s="104"/>
      <c r="Q189" s="104"/>
    </row>
    <row r="190" spans="1:17" ht="15" customHeight="1" hidden="1">
      <c r="A190" s="104">
        <f>A188+1</f>
        <v>56</v>
      </c>
      <c r="B190" s="108" t="s">
        <v>117</v>
      </c>
      <c r="C190" s="217" t="str">
        <f>ΠΑΡΑΜΕΤΡΟΙ!B7&amp;""&amp;ΔΕΔΟΜΕΝΑ!A117&amp;""&amp;ΔΕΔΟΜΕΝΑ!B117</f>
        <v>Στον Κ.Α1899.02Διάφορες προμήθειες που δεν κατονομάζονται ειδικά</v>
      </c>
      <c r="D190" s="217"/>
      <c r="E190" s="217"/>
      <c r="F190" s="217"/>
      <c r="G190" s="217"/>
      <c r="H190" s="217"/>
      <c r="I190" s="217"/>
      <c r="J190" s="217"/>
      <c r="K190" s="104"/>
      <c r="L190" s="104"/>
      <c r="M190" s="104"/>
      <c r="N190" s="104"/>
      <c r="O190" s="104"/>
      <c r="P190" s="104"/>
      <c r="Q190" s="104"/>
    </row>
    <row r="191" spans="1:17" ht="15" customHeight="1" hidden="1">
      <c r="A191" s="104"/>
      <c r="B191" s="108"/>
      <c r="C191" s="218" t="str">
        <f>ΠΑΡΑΜΕΤΡΟΙ!$B$5&amp;" "&amp;ΔΕΔΟΜΕΝΑ!C117&amp;" € "&amp;ΔΕΔΟΜΕΝΑ!G117</f>
        <v>Γράφτηκε πίστωση  €  για την εξόφληση οφειλών χρήσεως 2009 που δεν πραγματοποιήθηκαν λόγω έλειψης χρημάτων.</v>
      </c>
      <c r="D191" s="218"/>
      <c r="E191" s="218"/>
      <c r="F191" s="218"/>
      <c r="G191" s="218"/>
      <c r="H191" s="218"/>
      <c r="I191" s="218"/>
      <c r="J191" s="218"/>
      <c r="K191" s="104"/>
      <c r="L191" s="104"/>
      <c r="M191" s="104"/>
      <c r="N191" s="104"/>
      <c r="O191" s="104"/>
      <c r="P191" s="104"/>
      <c r="Q191" s="104"/>
    </row>
    <row r="192" spans="1:17" ht="12.75">
      <c r="A192" s="104">
        <v>56</v>
      </c>
      <c r="B192" s="108" t="s">
        <v>117</v>
      </c>
      <c r="C192" s="217" t="str">
        <f>ΠΑΡΑΜΕΤΡΟΙ!B7&amp;""&amp;ΔΕΔΟΜΕΝΑ!A118&amp;""&amp;ΔΕΔΟΜΕΝΑ!B118</f>
        <v>Στον Κ.Α3311Απόδοση στο Μ.Τ.Π.Υ. των εισπράξεων που έγιναν γι’ αυτό</v>
      </c>
      <c r="D192" s="217"/>
      <c r="E192" s="217"/>
      <c r="F192" s="217"/>
      <c r="G192" s="217"/>
      <c r="H192" s="217"/>
      <c r="I192" s="217"/>
      <c r="J192" s="217"/>
      <c r="K192" s="104"/>
      <c r="L192" s="104"/>
      <c r="M192" s="104"/>
      <c r="N192" s="104"/>
      <c r="O192" s="104"/>
      <c r="P192" s="104"/>
      <c r="Q192" s="104"/>
    </row>
    <row r="193" spans="1:17" ht="15" customHeight="1">
      <c r="A193" s="104"/>
      <c r="B193" s="108"/>
      <c r="C193" s="218" t="str">
        <f>ΠΑΡΑΜΕΤΡΟΙ!$B$5&amp;" "&amp;ΔΕΔΟΜΕΝΑ!C118&amp;" € "&amp;ΔΕΔΟΜΕΝΑ!G118</f>
        <v>Γράφτηκε πίστωση 5000 €  γράφτηκε αντίστοιχη πίστωση στα έσοδα.</v>
      </c>
      <c r="D193" s="218"/>
      <c r="E193" s="218"/>
      <c r="F193" s="218"/>
      <c r="G193" s="218"/>
      <c r="H193" s="218"/>
      <c r="I193" s="218"/>
      <c r="J193" s="218"/>
      <c r="K193" s="104"/>
      <c r="L193" s="104"/>
      <c r="M193" s="104"/>
      <c r="N193" s="104"/>
      <c r="O193" s="104"/>
      <c r="P193" s="104"/>
      <c r="Q193" s="104"/>
    </row>
    <row r="194" spans="1:17" ht="12.75" customHeight="1">
      <c r="A194" s="104">
        <v>57</v>
      </c>
      <c r="B194" s="108" t="s">
        <v>117</v>
      </c>
      <c r="C194" s="217" t="str">
        <f>ΠΑΡΑΜΕΤΡΟΙ!B7&amp;""&amp;ΔΕΔΟΜΕΝΑ!A123&amp;""&amp;ΔΕΔΟΜΕΝΑ!B123</f>
        <v>Στον Κ.Α3391Απόδοση των εισπράξεων που έγιναν για λογαριασμό του Δημοσίου</v>
      </c>
      <c r="D194" s="217"/>
      <c r="E194" s="217"/>
      <c r="F194" s="217"/>
      <c r="G194" s="217"/>
      <c r="H194" s="217"/>
      <c r="I194" s="217"/>
      <c r="J194" s="217"/>
      <c r="K194" s="104"/>
      <c r="L194" s="104"/>
      <c r="M194" s="104"/>
      <c r="N194" s="104"/>
      <c r="O194" s="104"/>
      <c r="P194" s="104"/>
      <c r="Q194" s="104"/>
    </row>
    <row r="195" spans="1:17" ht="15" customHeight="1">
      <c r="A195" s="104"/>
      <c r="B195" s="108"/>
      <c r="C195" s="218" t="str">
        <f>ΠΑΡΑΜΕΤΡΟΙ!$B$5&amp;" "&amp;ΔΕΔΟΜΕΝΑ!C123&amp;" € "&amp;ΔΕΔΟΜΕΝΑ!G123</f>
        <v>Γράφτηκε πίστωση 160000 €  γράφτηκε αντίστοιχη πίστωση στα έσοδα.</v>
      </c>
      <c r="D195" s="218"/>
      <c r="E195" s="218"/>
      <c r="F195" s="218"/>
      <c r="G195" s="218"/>
      <c r="H195" s="218"/>
      <c r="I195" s="218"/>
      <c r="J195" s="218"/>
      <c r="K195" s="104"/>
      <c r="L195" s="104"/>
      <c r="M195" s="104"/>
      <c r="N195" s="104"/>
      <c r="O195" s="104"/>
      <c r="P195" s="104"/>
      <c r="Q195" s="104"/>
    </row>
    <row r="196" spans="1:17" ht="12.75" customHeight="1">
      <c r="A196" s="104">
        <f>A194+1</f>
        <v>58</v>
      </c>
      <c r="B196" s="108" t="s">
        <v>117</v>
      </c>
      <c r="C196" s="217" t="str">
        <f>ΠΑΡΑΜΕΤΡΟΙ!B7&amp;""&amp;ΔΕΔΟΜΕΝΑ!A127&amp;""&amp;ΔΕΔΟΜΕΝΑ!B127</f>
        <v>Στον Κ.Α7111Προμήθεια επίπλων</v>
      </c>
      <c r="D196" s="217"/>
      <c r="E196" s="217"/>
      <c r="F196" s="217"/>
      <c r="G196" s="217"/>
      <c r="H196" s="217"/>
      <c r="I196" s="217"/>
      <c r="J196" s="217"/>
      <c r="K196" s="104"/>
      <c r="L196" s="104"/>
      <c r="M196" s="104"/>
      <c r="N196" s="104"/>
      <c r="O196" s="104"/>
      <c r="P196" s="104"/>
      <c r="Q196" s="104"/>
    </row>
    <row r="197" spans="1:17" ht="15" customHeight="1">
      <c r="A197" s="104"/>
      <c r="B197" s="108"/>
      <c r="C197" s="218" t="str">
        <f>ΠΑΡΑΜΕΤΡΟΙ!$B$5&amp;" "&amp;ΔΕΔΟΜΕΝΑ!C127&amp;" € "&amp;ΔΕΔΟΜΕΝΑ!G127</f>
        <v>Γράφτηκε πίστωση 5000 €  για την συμπλήρωση του εξοπλισμού του Κέντρου ή αντικατάσταση του παλαιού.</v>
      </c>
      <c r="D197" s="218"/>
      <c r="E197" s="218"/>
      <c r="F197" s="218"/>
      <c r="G197" s="218"/>
      <c r="H197" s="218"/>
      <c r="I197" s="218"/>
      <c r="J197" s="218"/>
      <c r="K197" s="104"/>
      <c r="L197" s="104"/>
      <c r="M197" s="104"/>
      <c r="N197" s="104"/>
      <c r="O197" s="104"/>
      <c r="P197" s="104"/>
      <c r="Q197" s="104"/>
    </row>
    <row r="198" spans="1:17" ht="12.75">
      <c r="A198" s="104">
        <f>A196+1</f>
        <v>59</v>
      </c>
      <c r="B198" s="108" t="s">
        <v>117</v>
      </c>
      <c r="C198" s="217" t="str">
        <f>ΠΑΡΑΜΕΤΡΟΙ!B7&amp;""&amp;ΔΕΔΟΜΕΝΑ!A129&amp;""&amp;ΔΕΔΟΜΕΝΑ!B129</f>
        <v>Στον Κ.Α7112Προμήθεια ηλεκτρικών συσκευών και μηχανημάτων κλιματισμού γραφείων</v>
      </c>
      <c r="D198" s="217"/>
      <c r="E198" s="217"/>
      <c r="F198" s="217"/>
      <c r="G198" s="217"/>
      <c r="H198" s="217"/>
      <c r="I198" s="217"/>
      <c r="J198" s="217"/>
      <c r="K198" s="119"/>
      <c r="L198" s="119"/>
      <c r="M198" s="119"/>
      <c r="N198" s="119"/>
      <c r="O198" s="119"/>
      <c r="P198" s="119"/>
      <c r="Q198" s="119"/>
    </row>
    <row r="199" spans="1:17" ht="34.5" customHeight="1">
      <c r="A199" s="104"/>
      <c r="B199" s="108"/>
      <c r="C199" s="218" t="str">
        <f>ΠΑΡΑΜΕΤΡΟΙ!$B$5&amp;" "&amp;ΔΕΔΟΜΕΝΑ!C129&amp;" € "&amp;ΔΕΔΟΜΕΝΑ!G129</f>
        <v>Γράφτηκε πίστωση 171000 €  για προμήθεια ηλεκτρικών συσκευών και κλιματιστικών , αλλά και προϋπολογίστηκε ποσό 125.000 ευρώ για προμήθεια -3- επαγγελματικών πλυντηρίων και ποσό 35.000 ευρώ για επαγγελματικό επιδαπέδιο φούρνο (λαχείο) για το παράρτημα ΘΧΠ.</v>
      </c>
      <c r="D199" s="218"/>
      <c r="E199" s="218"/>
      <c r="F199" s="218"/>
      <c r="G199" s="218"/>
      <c r="H199" s="218"/>
      <c r="I199" s="218"/>
      <c r="J199" s="218"/>
      <c r="K199" s="104"/>
      <c r="L199" s="104"/>
      <c r="M199" s="104"/>
      <c r="N199" s="104"/>
      <c r="O199" s="104"/>
      <c r="P199" s="104"/>
      <c r="Q199" s="104"/>
    </row>
    <row r="200" spans="1:17" ht="12.75">
      <c r="A200" s="104">
        <f>A198+1</f>
        <v>60</v>
      </c>
      <c r="B200" s="108" t="s">
        <v>117</v>
      </c>
      <c r="C200" s="217" t="str">
        <f>ΠΑΡΑΜΕΤΡΟΙ!B7&amp;""&amp;ΔΕΔΟΜΕΝΑ!A132&amp;""&amp;ΔΕΔΟΜΕΝΑ!B132</f>
        <v>Στον Κ.Α7123Προμήθεια ηλεκτρονικών υπολογιστών και βοηθητικών μηχανών</v>
      </c>
      <c r="D200" s="218"/>
      <c r="E200" s="218"/>
      <c r="F200" s="218"/>
      <c r="G200" s="218"/>
      <c r="H200" s="218"/>
      <c r="I200" s="218"/>
      <c r="J200" s="218"/>
      <c r="K200" s="104"/>
      <c r="L200" s="104"/>
      <c r="M200" s="104"/>
      <c r="N200" s="104"/>
      <c r="O200" s="104"/>
      <c r="P200" s="104"/>
      <c r="Q200" s="104"/>
    </row>
    <row r="201" spans="1:17" ht="15" customHeight="1">
      <c r="A201" s="104"/>
      <c r="B201" s="108"/>
      <c r="C201" s="218" t="str">
        <f>ΠΑΡΑΜΕΤΡΟΙ!$B$5&amp;" "&amp;ΔΕΔΟΜΕΝΑ!C132&amp;" € "&amp;ΔΕΔΟΜΕΝΑ!G132</f>
        <v>Γράφτηκε πίστωση 6000 €  για προμήθεια Η/Υ και περιφερειακών τους.</v>
      </c>
      <c r="D201" s="218"/>
      <c r="E201" s="218"/>
      <c r="F201" s="218"/>
      <c r="G201" s="218"/>
      <c r="H201" s="218"/>
      <c r="I201" s="218"/>
      <c r="J201" s="218"/>
      <c r="K201" s="104"/>
      <c r="L201" s="104"/>
      <c r="M201" s="104"/>
      <c r="N201" s="104"/>
      <c r="O201" s="104"/>
      <c r="P201" s="104"/>
      <c r="Q201" s="104"/>
    </row>
    <row r="202" spans="1:17" ht="12.75">
      <c r="A202" s="104">
        <f>A200+1</f>
        <v>61</v>
      </c>
      <c r="B202" s="108" t="s">
        <v>117</v>
      </c>
      <c r="C202" s="217" t="str">
        <f>ΠΑΡΑΜΕΤΡΟΙ!B7&amp;""&amp;ΔΕΔΟΜΕΝΑ!A134&amp;""&amp;ΔΕΔΟΜΕΝΑ!B134</f>
        <v>Στον Κ.Α7124Προμήθεια φωτοτυπικών μηχανημάτων</v>
      </c>
      <c r="D202" s="218"/>
      <c r="E202" s="218"/>
      <c r="F202" s="218"/>
      <c r="G202" s="218"/>
      <c r="H202" s="218"/>
      <c r="I202" s="218"/>
      <c r="J202" s="218"/>
      <c r="K202" s="104"/>
      <c r="L202" s="104"/>
      <c r="M202" s="104"/>
      <c r="N202" s="104"/>
      <c r="O202" s="104"/>
      <c r="P202" s="104"/>
      <c r="Q202" s="104"/>
    </row>
    <row r="203" spans="1:17" ht="24.75" customHeight="1">
      <c r="A203" s="104"/>
      <c r="B203" s="108"/>
      <c r="C203" s="218" t="str">
        <f>ΠΑΡΑΜΕΤΡΟΙ!$B$5&amp;" "&amp;ΔΕΔΟΜΕΝΑ!C134&amp;" € "&amp;ΔΕΔΟΜΕΝΑ!G134</f>
        <v>Γράφτηκε πίστωση 2000 €  για την  προμήθεια φωτοτυπικών μηχανημάτων.</v>
      </c>
      <c r="D203" s="218"/>
      <c r="E203" s="218"/>
      <c r="F203" s="218"/>
      <c r="G203" s="218"/>
      <c r="H203" s="218"/>
      <c r="I203" s="218"/>
      <c r="J203" s="218"/>
      <c r="K203" s="104"/>
      <c r="L203" s="104"/>
      <c r="M203" s="104"/>
      <c r="N203" s="104"/>
      <c r="O203" s="104"/>
      <c r="P203" s="104"/>
      <c r="Q203" s="104"/>
    </row>
    <row r="204" spans="1:17" ht="12.75">
      <c r="A204" s="104">
        <f>A202+1</f>
        <v>62</v>
      </c>
      <c r="B204" s="108" t="s">
        <v>117</v>
      </c>
      <c r="C204" s="217" t="str">
        <f>ΠΑΡΑΜΕΤΡΟΙ!B7&amp;""&amp;ΔΕΔΟΜΕΝΑ!A135&amp;""&amp;ΔΕΔΟΜΕΝΑ!B135</f>
        <v>Στον Κ.Α9000Έσοδα από επιχορηγήσεις για επενδύσεις</v>
      </c>
      <c r="D204" s="217"/>
      <c r="E204" s="217"/>
      <c r="F204" s="217"/>
      <c r="G204" s="217"/>
      <c r="H204" s="217"/>
      <c r="I204" s="217"/>
      <c r="J204" s="217"/>
      <c r="K204" s="104"/>
      <c r="L204" s="104"/>
      <c r="M204" s="104"/>
      <c r="N204" s="104"/>
      <c r="O204" s="104"/>
      <c r="P204" s="104"/>
      <c r="Q204" s="104"/>
    </row>
    <row r="205" spans="1:17" ht="49.5" customHeight="1">
      <c r="A205" s="104"/>
      <c r="B205" s="108"/>
      <c r="C205" s="218" t="str">
        <f>ΠΑΡΑΜΕΤΡΟΙ!$B$5&amp;" "&amp;ΔΕΔΟΜΕΝΑ!C135&amp;" € "&amp;ΔΕΔΟΜΕΝΑ!G135</f>
        <v>Γράφτηκε πίστωση 432000 €  έχει εγγραφεί ποσό 282.000 ευρώ που αφορά την πληρωμή των 24ου, 25ου και 26ου λογαριασμού εργασιών του έργου ΑΝΕΓΕΡΣΗ ΓΗΡΟΚΟΜΕΙΟΥ ΚΙΛΚΙΣ μέσω του ΠΔΕ, ποσό 90.000 ευρώ για την προμήθεια ξενοδοχ. εξοπλισμού για -3- ΣΥΔ στο παράρτημα Σερρών (λαχείο) και ποσό 60.000 ευρώ για  εκτέλεση εργασιών συντήρησης του παλαιού κτιρίου του παρ. Σερρών και εργασιών αφύγρανσης του χώρου των πλυντηρίων του παρ. ΘΧΠ (λαχείο).</v>
      </c>
      <c r="D205" s="218"/>
      <c r="E205" s="218"/>
      <c r="F205" s="218"/>
      <c r="G205" s="218"/>
      <c r="H205" s="218"/>
      <c r="I205" s="218"/>
      <c r="J205" s="218"/>
      <c r="K205" s="104"/>
      <c r="L205" s="104"/>
      <c r="M205" s="104"/>
      <c r="N205" s="104"/>
      <c r="O205" s="104"/>
      <c r="P205" s="104"/>
      <c r="Q205" s="104"/>
    </row>
    <row r="206" spans="1:17" ht="12.75">
      <c r="A206" s="104"/>
      <c r="B206" s="108"/>
      <c r="C206" s="217"/>
      <c r="D206" s="217"/>
      <c r="E206" s="217"/>
      <c r="F206" s="217"/>
      <c r="G206" s="217"/>
      <c r="H206" s="217"/>
      <c r="I206" s="217"/>
      <c r="J206" s="217"/>
      <c r="K206" s="104"/>
      <c r="L206" s="104"/>
      <c r="M206" s="104"/>
      <c r="N206" s="104"/>
      <c r="O206" s="104"/>
      <c r="P206" s="104"/>
      <c r="Q206" s="104"/>
    </row>
    <row r="207" spans="1:17" ht="12.75">
      <c r="A207" s="104"/>
      <c r="B207" s="108"/>
      <c r="C207" s="121" t="s">
        <v>14</v>
      </c>
      <c r="D207" s="104"/>
      <c r="E207" s="122">
        <f>εξοδα!G244</f>
        <v>5972000</v>
      </c>
      <c r="F207" s="104"/>
      <c r="G207" s="104"/>
      <c r="H207" s="104"/>
      <c r="I207" s="104"/>
      <c r="J207" s="104"/>
      <c r="K207" s="104"/>
      <c r="L207" s="104"/>
      <c r="M207" s="104"/>
      <c r="N207" s="104"/>
      <c r="O207" s="104"/>
      <c r="P207" s="104"/>
      <c r="Q207" s="104"/>
    </row>
    <row r="208" spans="1:17" ht="15" customHeight="1">
      <c r="A208" s="104"/>
      <c r="B208" s="108"/>
      <c r="C208" s="123"/>
      <c r="D208" s="123"/>
      <c r="E208" s="123"/>
      <c r="F208" s="126" t="s">
        <v>24</v>
      </c>
      <c r="G208" s="126" t="s">
        <v>530</v>
      </c>
      <c r="H208" s="234">
        <f>εσοδα!G66</f>
        <v>7876000</v>
      </c>
      <c r="I208" s="235"/>
      <c r="J208" s="123"/>
      <c r="K208" s="104"/>
      <c r="L208" s="104"/>
      <c r="M208" s="104"/>
      <c r="N208" s="104"/>
      <c r="O208" s="104"/>
      <c r="P208" s="104"/>
      <c r="Q208" s="104"/>
    </row>
    <row r="209" spans="1:17" ht="15" customHeight="1">
      <c r="A209" s="104"/>
      <c r="B209" s="108"/>
      <c r="C209" s="123"/>
      <c r="D209" s="123"/>
      <c r="E209" s="123"/>
      <c r="F209" s="126" t="s">
        <v>25</v>
      </c>
      <c r="G209" s="126" t="s">
        <v>530</v>
      </c>
      <c r="H209" s="234">
        <f>εξοδα!G244</f>
        <v>5972000</v>
      </c>
      <c r="I209" s="235"/>
      <c r="J209" s="123"/>
      <c r="K209" s="104"/>
      <c r="L209" s="104"/>
      <c r="M209" s="104"/>
      <c r="N209" s="104"/>
      <c r="O209" s="104"/>
      <c r="P209" s="104"/>
      <c r="Q209" s="104"/>
    </row>
    <row r="210" spans="1:17" ht="15" customHeight="1">
      <c r="A210" s="104"/>
      <c r="B210" s="108"/>
      <c r="C210" s="123"/>
      <c r="D210" s="123"/>
      <c r="E210" s="123"/>
      <c r="F210" s="126" t="s">
        <v>15</v>
      </c>
      <c r="G210" s="126" t="s">
        <v>530</v>
      </c>
      <c r="H210" s="215">
        <f>H208-H209</f>
        <v>1904000</v>
      </c>
      <c r="I210" s="216"/>
      <c r="J210" s="118"/>
      <c r="K210" s="104"/>
      <c r="L210" s="104"/>
      <c r="M210" s="104"/>
      <c r="N210" s="104"/>
      <c r="O210" s="104"/>
      <c r="P210" s="104"/>
      <c r="Q210" s="104"/>
    </row>
    <row r="211" spans="1:17" ht="12.75">
      <c r="A211" s="104"/>
      <c r="B211" s="108"/>
      <c r="C211" s="104"/>
      <c r="D211" s="104"/>
      <c r="E211" s="104"/>
      <c r="F211" s="126" t="s">
        <v>741</v>
      </c>
      <c r="G211" s="126"/>
      <c r="H211" s="215">
        <v>196000</v>
      </c>
      <c r="I211" s="216"/>
      <c r="J211" s="104"/>
      <c r="K211" s="104"/>
      <c r="L211" s="104"/>
      <c r="M211" s="104"/>
      <c r="N211" s="104"/>
      <c r="O211" s="104"/>
      <c r="P211" s="104"/>
      <c r="Q211" s="104"/>
    </row>
    <row r="212" spans="1:17" ht="12.75">
      <c r="A212" s="104"/>
      <c r="B212" s="108"/>
      <c r="C212" s="104"/>
      <c r="D212" s="104"/>
      <c r="E212" s="104"/>
      <c r="F212" s="126" t="s">
        <v>742</v>
      </c>
      <c r="G212" s="126"/>
      <c r="H212" s="215">
        <v>2100000</v>
      </c>
      <c r="I212" s="216"/>
      <c r="K212" s="104"/>
      <c r="L212" s="104"/>
      <c r="M212" s="104"/>
      <c r="N212" s="104"/>
      <c r="O212" s="104"/>
      <c r="P212" s="104"/>
      <c r="Q212" s="104"/>
    </row>
    <row r="213" spans="1:17" ht="12.75">
      <c r="A213" s="104"/>
      <c r="B213" s="108"/>
      <c r="C213" s="104"/>
      <c r="D213" s="104"/>
      <c r="E213" s="104"/>
      <c r="F213" s="104"/>
      <c r="G213" s="104"/>
      <c r="H213" s="104"/>
      <c r="I213"/>
      <c r="J213" s="107"/>
      <c r="K213" s="104"/>
      <c r="L213" s="104"/>
      <c r="M213" s="104"/>
      <c r="N213" s="104"/>
      <c r="O213" s="104"/>
      <c r="P213" s="104"/>
      <c r="Q213" s="104"/>
    </row>
    <row r="214" spans="1:17" ht="12.75">
      <c r="A214" s="104"/>
      <c r="B214" s="108"/>
      <c r="C214" s="104"/>
      <c r="D214" s="237" t="s">
        <v>688</v>
      </c>
      <c r="E214" s="237"/>
      <c r="F214" s="104"/>
      <c r="G214" s="104"/>
      <c r="H214" s="104"/>
      <c r="I214" s="107"/>
      <c r="J214" s="107"/>
      <c r="K214" s="104"/>
      <c r="L214" s="104"/>
      <c r="M214" s="104"/>
      <c r="N214" s="104"/>
      <c r="O214" s="104"/>
      <c r="P214" s="104"/>
      <c r="Q214" s="104"/>
    </row>
    <row r="215" spans="1:17" ht="12.75">
      <c r="A215" s="104"/>
      <c r="B215" s="108"/>
      <c r="C215" s="104"/>
      <c r="D215" s="104"/>
      <c r="E215" s="104"/>
      <c r="F215" s="104"/>
      <c r="G215" s="104"/>
      <c r="H215" s="104"/>
      <c r="I215" s="109"/>
      <c r="J215" s="107"/>
      <c r="K215" s="104"/>
      <c r="L215" s="104"/>
      <c r="M215" s="104"/>
      <c r="N215" s="104"/>
      <c r="O215" s="104"/>
      <c r="P215" s="104"/>
      <c r="Q215" s="104"/>
    </row>
    <row r="216" spans="1:17" ht="12.75">
      <c r="A216" s="104"/>
      <c r="B216" s="108"/>
      <c r="C216" s="109"/>
      <c r="D216" s="109"/>
      <c r="E216" s="109"/>
      <c r="F216" s="109"/>
      <c r="G216" s="109"/>
      <c r="H216" s="109"/>
      <c r="I216" s="185"/>
      <c r="J216" s="109"/>
      <c r="K216" s="104"/>
      <c r="L216" s="104"/>
      <c r="M216" s="104"/>
      <c r="N216" s="104"/>
      <c r="O216" s="104"/>
      <c r="P216" s="104"/>
      <c r="Q216" s="104"/>
    </row>
    <row r="217" spans="1:17" s="133" customFormat="1" ht="12.75">
      <c r="A217" s="131"/>
      <c r="B217" s="132"/>
      <c r="C217" s="185"/>
      <c r="D217" s="185"/>
      <c r="E217" s="185"/>
      <c r="F217" s="185"/>
      <c r="G217" s="185"/>
      <c r="H217" s="185"/>
      <c r="I217" s="184"/>
      <c r="J217" s="185"/>
      <c r="K217" s="131"/>
      <c r="L217" s="131"/>
      <c r="M217" s="131"/>
      <c r="N217" s="131"/>
      <c r="O217" s="131"/>
      <c r="P217" s="131"/>
      <c r="Q217" s="131"/>
    </row>
    <row r="218" spans="1:17" s="133" customFormat="1" ht="12.75">
      <c r="A218" s="131"/>
      <c r="B218" s="132"/>
      <c r="C218" s="184"/>
      <c r="D218" s="184"/>
      <c r="E218" s="184"/>
      <c r="F218" s="184"/>
      <c r="G218" s="184"/>
      <c r="H218" s="184"/>
      <c r="I218" s="185"/>
      <c r="J218" s="184"/>
      <c r="K218" s="131"/>
      <c r="L218" s="131"/>
      <c r="M218" s="131"/>
      <c r="N218" s="131"/>
      <c r="O218" s="131"/>
      <c r="P218" s="131"/>
      <c r="Q218" s="131"/>
    </row>
    <row r="219" spans="1:17" s="133" customFormat="1" ht="12.75">
      <c r="A219" s="131"/>
      <c r="B219" s="132"/>
      <c r="C219" s="185"/>
      <c r="D219" s="185"/>
      <c r="E219" s="185"/>
      <c r="F219" s="185"/>
      <c r="G219" s="185"/>
      <c r="H219" s="185"/>
      <c r="I219" s="184"/>
      <c r="J219" s="185"/>
      <c r="K219" s="131"/>
      <c r="L219" s="131"/>
      <c r="M219" s="131"/>
      <c r="N219" s="131"/>
      <c r="O219" s="131"/>
      <c r="P219" s="131"/>
      <c r="Q219" s="131"/>
    </row>
    <row r="220" spans="1:17" s="133" customFormat="1" ht="12.75">
      <c r="A220" s="131"/>
      <c r="B220" s="132"/>
      <c r="C220" s="184"/>
      <c r="D220" s="184"/>
      <c r="E220" s="184"/>
      <c r="F220" s="184"/>
      <c r="G220" s="184"/>
      <c r="H220" s="184"/>
      <c r="I220" s="185"/>
      <c r="J220" s="184"/>
      <c r="K220" s="131"/>
      <c r="L220" s="131"/>
      <c r="M220" s="131"/>
      <c r="N220" s="131"/>
      <c r="O220" s="131"/>
      <c r="P220" s="131"/>
      <c r="Q220" s="131"/>
    </row>
    <row r="221" spans="1:17" s="133" customFormat="1" ht="12.75">
      <c r="A221" s="131"/>
      <c r="B221" s="132"/>
      <c r="C221" s="185"/>
      <c r="D221" s="185"/>
      <c r="E221" s="185"/>
      <c r="F221" s="185"/>
      <c r="G221" s="185"/>
      <c r="H221" s="185"/>
      <c r="I221" s="181"/>
      <c r="J221" s="185"/>
      <c r="K221" s="131"/>
      <c r="L221" s="131"/>
      <c r="M221" s="131"/>
      <c r="N221" s="131"/>
      <c r="O221" s="131"/>
      <c r="P221" s="131"/>
      <c r="Q221" s="131"/>
    </row>
    <row r="222" spans="1:17" s="133" customFormat="1" ht="12.75">
      <c r="A222" s="131"/>
      <c r="B222" s="132"/>
      <c r="C222" s="181"/>
      <c r="D222" s="181"/>
      <c r="E222" s="181"/>
      <c r="F222" s="181"/>
      <c r="G222" s="181"/>
      <c r="H222" s="181"/>
      <c r="I222" s="182"/>
      <c r="J222" s="181"/>
      <c r="K222" s="131"/>
      <c r="L222" s="131"/>
      <c r="M222" s="131"/>
      <c r="N222" s="131"/>
      <c r="O222" s="131"/>
      <c r="P222" s="131"/>
      <c r="Q222" s="131"/>
    </row>
    <row r="223" spans="1:17" s="133" customFormat="1" ht="12.75">
      <c r="A223" s="131"/>
      <c r="B223" s="132"/>
      <c r="C223" s="182"/>
      <c r="D223" s="182"/>
      <c r="E223" s="182"/>
      <c r="F223" s="182"/>
      <c r="G223" s="182"/>
      <c r="H223" s="182"/>
      <c r="I223" s="181"/>
      <c r="J223" s="182"/>
      <c r="K223" s="131"/>
      <c r="L223" s="131"/>
      <c r="M223" s="131"/>
      <c r="N223" s="131"/>
      <c r="O223" s="131"/>
      <c r="P223" s="131"/>
      <c r="Q223" s="131"/>
    </row>
    <row r="224" spans="1:17" ht="12.75">
      <c r="A224" s="135"/>
      <c r="B224" s="103"/>
      <c r="C224" s="181"/>
      <c r="D224" s="181"/>
      <c r="E224" s="181"/>
      <c r="F224" s="181"/>
      <c r="G224" s="181"/>
      <c r="H224" s="181"/>
      <c r="I224" s="183"/>
      <c r="J224" s="181"/>
      <c r="K224" s="135"/>
      <c r="L224" s="135"/>
      <c r="M224" s="135"/>
      <c r="N224" s="135"/>
      <c r="O224" s="135"/>
      <c r="P224" s="135"/>
      <c r="Q224" s="135"/>
    </row>
    <row r="225" spans="1:17" ht="15.75" customHeight="1">
      <c r="A225" s="135"/>
      <c r="B225" s="103"/>
      <c r="C225" s="183"/>
      <c r="D225" s="183"/>
      <c r="E225" s="183"/>
      <c r="F225" s="183"/>
      <c r="G225" s="183"/>
      <c r="H225" s="183"/>
      <c r="J225" s="183"/>
      <c r="K225" s="135"/>
      <c r="L225" s="135"/>
      <c r="M225" s="135"/>
      <c r="N225" s="135"/>
      <c r="O225" s="135"/>
      <c r="P225" s="135"/>
      <c r="Q225" s="135"/>
    </row>
  </sheetData>
  <sheetProtection/>
  <mergeCells count="197">
    <mergeCell ref="C114:I114"/>
    <mergeCell ref="C115:I115"/>
    <mergeCell ref="C119:J119"/>
    <mergeCell ref="C120:J120"/>
    <mergeCell ref="H210:I210"/>
    <mergeCell ref="D214:E214"/>
    <mergeCell ref="C116:J116"/>
    <mergeCell ref="C117:J117"/>
    <mergeCell ref="C118:J118"/>
    <mergeCell ref="C124:J124"/>
    <mergeCell ref="C104:J104"/>
    <mergeCell ref="C107:J107"/>
    <mergeCell ref="C88:I88"/>
    <mergeCell ref="C89:I89"/>
    <mergeCell ref="C96:K96"/>
    <mergeCell ref="C97:L97"/>
    <mergeCell ref="C98:K98"/>
    <mergeCell ref="C99:L99"/>
    <mergeCell ref="C74:J74"/>
    <mergeCell ref="C75:J75"/>
    <mergeCell ref="C76:J76"/>
    <mergeCell ref="C77:J77"/>
    <mergeCell ref="C101:J101"/>
    <mergeCell ref="C93:J93"/>
    <mergeCell ref="C95:J95"/>
    <mergeCell ref="C100:J100"/>
    <mergeCell ref="C92:J92"/>
    <mergeCell ref="C85:J85"/>
    <mergeCell ref="C78:J78"/>
    <mergeCell ref="C80:J80"/>
    <mergeCell ref="C81:J81"/>
    <mergeCell ref="C82:J82"/>
    <mergeCell ref="C83:J83"/>
    <mergeCell ref="C84:J84"/>
    <mergeCell ref="C109:J109"/>
    <mergeCell ref="C111:J111"/>
    <mergeCell ref="C103:I103"/>
    <mergeCell ref="C121:J121"/>
    <mergeCell ref="C122:J122"/>
    <mergeCell ref="C123:J123"/>
    <mergeCell ref="C113:J113"/>
    <mergeCell ref="C110:J110"/>
    <mergeCell ref="C112:J112"/>
    <mergeCell ref="C105:J105"/>
    <mergeCell ref="C125:J125"/>
    <mergeCell ref="C126:J126"/>
    <mergeCell ref="C136:J136"/>
    <mergeCell ref="C133:J133"/>
    <mergeCell ref="C134:J134"/>
    <mergeCell ref="C135:J135"/>
    <mergeCell ref="C127:J127"/>
    <mergeCell ref="C128:J128"/>
    <mergeCell ref="C129:J129"/>
    <mergeCell ref="C130:J130"/>
    <mergeCell ref="C131:J131"/>
    <mergeCell ref="C132:J132"/>
    <mergeCell ref="C145:J145"/>
    <mergeCell ref="C143:I143"/>
    <mergeCell ref="C144:I144"/>
    <mergeCell ref="C137:J137"/>
    <mergeCell ref="C138:J138"/>
    <mergeCell ref="C139:J139"/>
    <mergeCell ref="C140:J140"/>
    <mergeCell ref="C141:J141"/>
    <mergeCell ref="C142:J142"/>
    <mergeCell ref="C154:I154"/>
    <mergeCell ref="C155:I155"/>
    <mergeCell ref="C148:J148"/>
    <mergeCell ref="C149:J149"/>
    <mergeCell ref="C150:J150"/>
    <mergeCell ref="C146:J146"/>
    <mergeCell ref="C147:J147"/>
    <mergeCell ref="C158:J158"/>
    <mergeCell ref="C159:J159"/>
    <mergeCell ref="C160:J160"/>
    <mergeCell ref="C151:J151"/>
    <mergeCell ref="C152:J152"/>
    <mergeCell ref="C153:J153"/>
    <mergeCell ref="C156:J156"/>
    <mergeCell ref="C157:J157"/>
    <mergeCell ref="C161:J161"/>
    <mergeCell ref="C162:J162"/>
    <mergeCell ref="C163:J163"/>
    <mergeCell ref="C164:J164"/>
    <mergeCell ref="C165:J165"/>
    <mergeCell ref="C166:J166"/>
    <mergeCell ref="C167:J167"/>
    <mergeCell ref="C168:J168"/>
    <mergeCell ref="C169:J169"/>
    <mergeCell ref="C170:J170"/>
    <mergeCell ref="C171:J171"/>
    <mergeCell ref="C182:J182"/>
    <mergeCell ref="C172:J172"/>
    <mergeCell ref="C173:J173"/>
    <mergeCell ref="C174:J174"/>
    <mergeCell ref="C175:J175"/>
    <mergeCell ref="C176:J176"/>
    <mergeCell ref="C177:J177"/>
    <mergeCell ref="C179:J179"/>
    <mergeCell ref="C181:J181"/>
    <mergeCell ref="C178:I178"/>
    <mergeCell ref="C180:J180"/>
    <mergeCell ref="C183:J183"/>
    <mergeCell ref="C184:J184"/>
    <mergeCell ref="C185:J185"/>
    <mergeCell ref="C186:J186"/>
    <mergeCell ref="C187:J187"/>
    <mergeCell ref="C188:J188"/>
    <mergeCell ref="C193:J193"/>
    <mergeCell ref="C194:J194"/>
    <mergeCell ref="C189:J189"/>
    <mergeCell ref="C190:J190"/>
    <mergeCell ref="C191:J191"/>
    <mergeCell ref="C192:J192"/>
    <mergeCell ref="C195:J195"/>
    <mergeCell ref="C196:J196"/>
    <mergeCell ref="C197:J197"/>
    <mergeCell ref="C198:J198"/>
    <mergeCell ref="C199:J199"/>
    <mergeCell ref="C200:J200"/>
    <mergeCell ref="H209:I209"/>
    <mergeCell ref="C205:J205"/>
    <mergeCell ref="C201:J201"/>
    <mergeCell ref="C202:J202"/>
    <mergeCell ref="C203:J203"/>
    <mergeCell ref="C206:J206"/>
    <mergeCell ref="H208:I208"/>
    <mergeCell ref="C204:J204"/>
    <mergeCell ref="A69:J69"/>
    <mergeCell ref="C61:J61"/>
    <mergeCell ref="C62:J65"/>
    <mergeCell ref="F66:I66"/>
    <mergeCell ref="D67:E67"/>
    <mergeCell ref="F67:I67"/>
    <mergeCell ref="C57:J57"/>
    <mergeCell ref="C58:I58"/>
    <mergeCell ref="C59:J60"/>
    <mergeCell ref="C52:J52"/>
    <mergeCell ref="C53:J53"/>
    <mergeCell ref="C54:J54"/>
    <mergeCell ref="C55:J55"/>
    <mergeCell ref="C51:J51"/>
    <mergeCell ref="C43:J43"/>
    <mergeCell ref="C45:J45"/>
    <mergeCell ref="C46:G46"/>
    <mergeCell ref="C47:J47"/>
    <mergeCell ref="C56:J56"/>
    <mergeCell ref="C37:J37"/>
    <mergeCell ref="C38:J38"/>
    <mergeCell ref="C48:J48"/>
    <mergeCell ref="C49:J49"/>
    <mergeCell ref="C50:J50"/>
    <mergeCell ref="C44:J44"/>
    <mergeCell ref="C42:J42"/>
    <mergeCell ref="C27:J27"/>
    <mergeCell ref="C28:H28"/>
    <mergeCell ref="C33:J33"/>
    <mergeCell ref="C23:J23"/>
    <mergeCell ref="C24:E24"/>
    <mergeCell ref="C25:J25"/>
    <mergeCell ref="C26:J26"/>
    <mergeCell ref="C34:I34"/>
    <mergeCell ref="C35:I35"/>
    <mergeCell ref="C20:J20"/>
    <mergeCell ref="C21:J21"/>
    <mergeCell ref="C22:J22"/>
    <mergeCell ref="C14:J14"/>
    <mergeCell ref="C15:J15"/>
    <mergeCell ref="C16:J16"/>
    <mergeCell ref="C18:J18"/>
    <mergeCell ref="C19:J19"/>
    <mergeCell ref="A8:J8"/>
    <mergeCell ref="A10:I10"/>
    <mergeCell ref="A12:J12"/>
    <mergeCell ref="A1:J1"/>
    <mergeCell ref="A3:J3"/>
    <mergeCell ref="A5:J5"/>
    <mergeCell ref="A6:J6"/>
    <mergeCell ref="C72:J72"/>
    <mergeCell ref="C73:J73"/>
    <mergeCell ref="C102:Q102"/>
    <mergeCell ref="C94:Q94"/>
    <mergeCell ref="C86:J86"/>
    <mergeCell ref="C87:J87"/>
    <mergeCell ref="C90:J90"/>
    <mergeCell ref="C91:J91"/>
    <mergeCell ref="C36:J36"/>
    <mergeCell ref="H211:I211"/>
    <mergeCell ref="H212:I212"/>
    <mergeCell ref="C29:I29"/>
    <mergeCell ref="C30:I30"/>
    <mergeCell ref="C31:I31"/>
    <mergeCell ref="C32:I32"/>
    <mergeCell ref="C71:J71"/>
    <mergeCell ref="C39:J39"/>
    <mergeCell ref="C40:J40"/>
    <mergeCell ref="C41:J41"/>
  </mergeCells>
  <conditionalFormatting sqref="H210:I211">
    <cfRule type="cellIs" priority="3" dxfId="0" operator="equal" stopIfTrue="1">
      <formula>287381.09</formula>
    </cfRule>
  </conditionalFormatting>
  <conditionalFormatting sqref="H212:I212">
    <cfRule type="cellIs" priority="1" dxfId="0" operator="equal" stopIfTrue="1">
      <formula>287381.09</formula>
    </cfRule>
  </conditionalFormatting>
  <printOptions horizontalCentered="1"/>
  <pageMargins left="0.7480314960629921" right="0.7480314960629921" top="0.984251968503937" bottom="0.86" header="0.5118110236220472" footer="0.5118110236220472"/>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dimension ref="A1:H21"/>
  <sheetViews>
    <sheetView view="pageBreakPreview" zoomScaleSheetLayoutView="100" zoomScalePageLayoutView="0" workbookViewId="0" topLeftCell="A6">
      <selection activeCell="H27" sqref="H27"/>
    </sheetView>
  </sheetViews>
  <sheetFormatPr defaultColWidth="9.00390625" defaultRowHeight="12.75"/>
  <cols>
    <col min="1" max="1" width="16.125" style="136" customWidth="1"/>
    <col min="2" max="2" width="13.625" style="104" customWidth="1"/>
    <col min="3" max="4" width="9.25390625" style="136" bestFit="1" customWidth="1"/>
    <col min="5" max="5" width="10.125" style="136" bestFit="1" customWidth="1"/>
    <col min="6" max="6" width="9.25390625" style="136" bestFit="1" customWidth="1"/>
    <col min="7" max="7" width="13.875" style="136" customWidth="1"/>
    <col min="8" max="8" width="32.125" style="136" customWidth="1"/>
    <col min="9" max="16384" width="9.125" style="104" customWidth="1"/>
  </cols>
  <sheetData>
    <row r="1" spans="1:8" ht="18.75">
      <c r="A1" s="209" t="s">
        <v>529</v>
      </c>
      <c r="B1" s="209"/>
      <c r="C1" s="209"/>
      <c r="D1" s="209"/>
      <c r="E1" s="209"/>
      <c r="F1" s="209"/>
      <c r="G1" s="209"/>
      <c r="H1" s="209"/>
    </row>
    <row r="2" spans="1:8" ht="16.5" thickBot="1">
      <c r="A2" s="241" t="s">
        <v>147</v>
      </c>
      <c r="B2" s="241"/>
      <c r="C2" s="241"/>
      <c r="D2" s="241"/>
      <c r="E2" s="241"/>
      <c r="F2" s="241"/>
      <c r="G2" s="241"/>
      <c r="H2" s="241"/>
    </row>
    <row r="3" spans="1:8" ht="17.25" thickBot="1" thickTop="1">
      <c r="A3" s="241" t="s">
        <v>148</v>
      </c>
      <c r="B3" s="241"/>
      <c r="C3" s="241"/>
      <c r="D3" s="241"/>
      <c r="E3" s="241"/>
      <c r="F3" s="241"/>
      <c r="G3" s="241"/>
      <c r="H3" s="241"/>
    </row>
    <row r="4" spans="1:8" ht="16.5" thickTop="1">
      <c r="A4" s="145"/>
      <c r="B4" s="146"/>
      <c r="C4" s="145"/>
      <c r="D4" s="145"/>
      <c r="E4" s="145"/>
      <c r="F4" s="137"/>
      <c r="G4" s="137"/>
      <c r="H4" s="137"/>
    </row>
    <row r="5" spans="1:8" ht="77.25" customHeight="1">
      <c r="A5" s="124" t="s">
        <v>149</v>
      </c>
      <c r="B5" s="124" t="s">
        <v>150</v>
      </c>
      <c r="C5" s="147" t="s">
        <v>151</v>
      </c>
      <c r="D5" s="148" t="s">
        <v>152</v>
      </c>
      <c r="E5" s="147" t="s">
        <v>153</v>
      </c>
      <c r="F5" s="147" t="s">
        <v>154</v>
      </c>
      <c r="G5" s="149" t="s">
        <v>139</v>
      </c>
      <c r="H5" s="149" t="s">
        <v>143</v>
      </c>
    </row>
    <row r="6" spans="1:8" ht="44.25" customHeight="1">
      <c r="A6" s="124" t="s">
        <v>155</v>
      </c>
      <c r="B6" s="150" t="s">
        <v>156</v>
      </c>
      <c r="C6" s="124">
        <v>5</v>
      </c>
      <c r="D6" s="151">
        <v>5</v>
      </c>
      <c r="E6" s="152">
        <v>200</v>
      </c>
      <c r="F6" s="152">
        <v>48.9</v>
      </c>
      <c r="G6" s="152">
        <f aca="true" t="shared" si="0" ref="G6:H10">C6*E6</f>
        <v>1000</v>
      </c>
      <c r="H6" s="152">
        <f t="shared" si="0"/>
        <v>244.5</v>
      </c>
    </row>
    <row r="7" spans="1:8" ht="32.25" customHeight="1">
      <c r="A7" s="124" t="s">
        <v>372</v>
      </c>
      <c r="B7" s="150" t="s">
        <v>156</v>
      </c>
      <c r="C7" s="124">
        <v>5</v>
      </c>
      <c r="D7" s="151">
        <v>5</v>
      </c>
      <c r="E7" s="152">
        <v>200</v>
      </c>
      <c r="F7" s="152">
        <v>48.9</v>
      </c>
      <c r="G7" s="152">
        <f t="shared" si="0"/>
        <v>1000</v>
      </c>
      <c r="H7" s="152">
        <f t="shared" si="0"/>
        <v>244.5</v>
      </c>
    </row>
    <row r="8" spans="1:8" ht="27.75" customHeight="1">
      <c r="A8" s="124" t="s">
        <v>373</v>
      </c>
      <c r="B8" s="150" t="s">
        <v>156</v>
      </c>
      <c r="C8" s="124">
        <v>5</v>
      </c>
      <c r="D8" s="151">
        <v>5</v>
      </c>
      <c r="E8" s="152">
        <v>200</v>
      </c>
      <c r="F8" s="152">
        <v>48.9</v>
      </c>
      <c r="G8" s="152">
        <f t="shared" si="0"/>
        <v>1000</v>
      </c>
      <c r="H8" s="152">
        <f t="shared" si="0"/>
        <v>244.5</v>
      </c>
    </row>
    <row r="9" spans="1:8" ht="55.5" customHeight="1">
      <c r="A9" s="124" t="s">
        <v>374</v>
      </c>
      <c r="B9" s="150" t="s">
        <v>157</v>
      </c>
      <c r="C9" s="124">
        <v>3</v>
      </c>
      <c r="D9" s="153">
        <v>15</v>
      </c>
      <c r="E9" s="152">
        <v>8.4</v>
      </c>
      <c r="F9" s="152">
        <v>9.78</v>
      </c>
      <c r="G9" s="152">
        <f t="shared" si="0"/>
        <v>25.200000000000003</v>
      </c>
      <c r="H9" s="152">
        <f t="shared" si="0"/>
        <v>146.7</v>
      </c>
    </row>
    <row r="10" spans="1:8" ht="53.25" customHeight="1">
      <c r="A10" s="124" t="s">
        <v>375</v>
      </c>
      <c r="B10" s="150" t="s">
        <v>157</v>
      </c>
      <c r="C10" s="124">
        <v>3</v>
      </c>
      <c r="D10" s="153">
        <v>15</v>
      </c>
      <c r="E10" s="152">
        <v>8.4</v>
      </c>
      <c r="F10" s="152">
        <v>9.78</v>
      </c>
      <c r="G10" s="152">
        <f t="shared" si="0"/>
        <v>25.200000000000003</v>
      </c>
      <c r="H10" s="152">
        <f t="shared" si="0"/>
        <v>146.7</v>
      </c>
    </row>
    <row r="11" spans="1:8" ht="120" customHeight="1">
      <c r="A11" s="124" t="s">
        <v>623</v>
      </c>
      <c r="B11" s="154" t="s">
        <v>712</v>
      </c>
      <c r="C11" s="124">
        <v>96</v>
      </c>
      <c r="D11" s="153">
        <v>96</v>
      </c>
      <c r="E11" s="152"/>
      <c r="F11" s="152">
        <v>9.78</v>
      </c>
      <c r="G11" s="152"/>
      <c r="H11" s="152">
        <f>D11*F11</f>
        <v>938.8799999999999</v>
      </c>
    </row>
    <row r="12" spans="1:8" ht="12.75">
      <c r="A12" s="242" t="s">
        <v>42</v>
      </c>
      <c r="B12" s="242"/>
      <c r="C12" s="242"/>
      <c r="D12" s="242"/>
      <c r="E12" s="242"/>
      <c r="F12" s="242"/>
      <c r="G12" s="155">
        <f>G10+G9+G8+G7+G6</f>
        <v>3050.4</v>
      </c>
      <c r="H12" s="155">
        <f>H11+H10+H9+H8+H7+H6</f>
        <v>1965.78</v>
      </c>
    </row>
    <row r="13" spans="1:8" ht="12.75">
      <c r="A13" s="238"/>
      <c r="B13" s="238"/>
      <c r="C13" s="238"/>
      <c r="D13" s="238"/>
      <c r="E13" s="238"/>
      <c r="F13" s="238"/>
      <c r="G13" s="155"/>
      <c r="H13" s="155"/>
    </row>
    <row r="14" spans="1:8" ht="15.75">
      <c r="A14" s="156"/>
      <c r="B14" s="138"/>
      <c r="C14" s="156"/>
      <c r="D14" s="156"/>
      <c r="E14" s="156"/>
      <c r="F14" s="157"/>
      <c r="G14" s="157"/>
      <c r="H14" s="157"/>
    </row>
    <row r="15" spans="1:8" ht="15.75">
      <c r="A15" s="239" t="s">
        <v>719</v>
      </c>
      <c r="B15" s="239"/>
      <c r="C15" s="239"/>
      <c r="D15" s="239"/>
      <c r="E15" s="239"/>
      <c r="F15" s="239"/>
      <c r="G15" s="239"/>
      <c r="H15" s="239"/>
    </row>
    <row r="16" spans="1:8" ht="15.75">
      <c r="A16" s="240" t="s">
        <v>718</v>
      </c>
      <c r="B16" s="240"/>
      <c r="C16" s="240"/>
      <c r="D16" s="240"/>
      <c r="E16" s="240"/>
      <c r="F16" s="240"/>
      <c r="G16" s="240"/>
      <c r="H16" s="240"/>
    </row>
    <row r="17" ht="12.75">
      <c r="B17" s="114"/>
    </row>
    <row r="18" spans="2:8" ht="12.75">
      <c r="B18" s="114"/>
      <c r="F18" s="158"/>
      <c r="G18" s="158" t="s">
        <v>145</v>
      </c>
      <c r="H18" s="158"/>
    </row>
    <row r="19" spans="2:8" ht="12.75">
      <c r="B19" s="114"/>
      <c r="F19" s="158"/>
      <c r="G19" s="158"/>
      <c r="H19" s="158"/>
    </row>
    <row r="20" spans="2:8" ht="12.75">
      <c r="B20" s="114"/>
      <c r="F20" s="158"/>
      <c r="G20" s="158"/>
      <c r="H20" s="158"/>
    </row>
    <row r="21" spans="2:8" ht="12.75">
      <c r="B21" s="114"/>
      <c r="F21" s="158"/>
      <c r="G21" s="158" t="s">
        <v>146</v>
      </c>
      <c r="H21" s="158"/>
    </row>
  </sheetData>
  <sheetProtection/>
  <mergeCells count="7">
    <mergeCell ref="A13:F13"/>
    <mergeCell ref="A15:H15"/>
    <mergeCell ref="A16:H16"/>
    <mergeCell ref="A1:H1"/>
    <mergeCell ref="A2:H2"/>
    <mergeCell ref="A3:H3"/>
    <mergeCell ref="A12:F12"/>
  </mergeCells>
  <printOptions horizontalCentered="1"/>
  <pageMargins left="0" right="0.7480314960629921" top="0.984251968503937" bottom="0.984251968503937" header="0.5118110236220472" footer="0.5118110236220472"/>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2:M13"/>
  <sheetViews>
    <sheetView zoomScalePageLayoutView="0" workbookViewId="0" topLeftCell="A1">
      <selection activeCell="A9" sqref="A9:M9"/>
    </sheetView>
  </sheetViews>
  <sheetFormatPr defaultColWidth="9.00390625" defaultRowHeight="12.75"/>
  <cols>
    <col min="1" max="11" width="9.125" style="104" customWidth="1"/>
    <col min="12" max="12" width="4.625" style="104" customWidth="1"/>
    <col min="13" max="13" width="5.625" style="104" customWidth="1"/>
    <col min="14" max="16384" width="9.125" style="104" customWidth="1"/>
  </cols>
  <sheetData>
    <row r="2" spans="1:13" ht="15.75">
      <c r="A2" s="246" t="s">
        <v>529</v>
      </c>
      <c r="B2" s="246"/>
      <c r="C2" s="246"/>
      <c r="D2" s="246"/>
      <c r="E2" s="246"/>
      <c r="F2" s="246"/>
      <c r="G2" s="246"/>
      <c r="H2" s="246"/>
      <c r="I2" s="246"/>
      <c r="J2" s="246"/>
      <c r="K2" s="246"/>
      <c r="L2" s="246"/>
      <c r="M2" s="246"/>
    </row>
    <row r="3" spans="1:13" ht="15.75">
      <c r="A3" s="125"/>
      <c r="B3" s="125"/>
      <c r="C3" s="125"/>
      <c r="D3" s="125"/>
      <c r="E3" s="125"/>
      <c r="F3" s="125"/>
      <c r="G3" s="125"/>
      <c r="H3" s="125"/>
      <c r="I3" s="125"/>
      <c r="J3" s="125"/>
      <c r="K3" s="125"/>
      <c r="L3" s="125"/>
      <c r="M3" s="125"/>
    </row>
    <row r="4" spans="1:13" ht="15.75">
      <c r="A4" s="244" t="s">
        <v>158</v>
      </c>
      <c r="B4" s="244"/>
      <c r="C4" s="244"/>
      <c r="D4" s="244"/>
      <c r="E4" s="244"/>
      <c r="F4" s="244"/>
      <c r="G4" s="244"/>
      <c r="H4" s="244"/>
      <c r="I4" s="244"/>
      <c r="J4" s="244"/>
      <c r="K4" s="244"/>
      <c r="L4" s="244"/>
      <c r="M4" s="244"/>
    </row>
    <row r="5" spans="1:13" ht="15.75">
      <c r="A5" s="159"/>
      <c r="B5" s="159"/>
      <c r="C5" s="159"/>
      <c r="D5" s="159"/>
      <c r="E5" s="159"/>
      <c r="F5" s="159"/>
      <c r="G5" s="159"/>
      <c r="H5" s="159"/>
      <c r="I5" s="159"/>
      <c r="J5" s="159"/>
      <c r="K5" s="159"/>
      <c r="L5" s="159"/>
      <c r="M5" s="159"/>
    </row>
    <row r="6" spans="1:13" ht="48" customHeight="1">
      <c r="A6" s="247" t="s">
        <v>651</v>
      </c>
      <c r="B6" s="247"/>
      <c r="C6" s="247"/>
      <c r="D6" s="247"/>
      <c r="E6" s="247"/>
      <c r="F6" s="247"/>
      <c r="G6" s="247"/>
      <c r="H6" s="247"/>
      <c r="I6" s="247"/>
      <c r="J6" s="247"/>
      <c r="K6" s="247"/>
      <c r="L6" s="247"/>
      <c r="M6" s="247"/>
    </row>
    <row r="7" spans="1:13" ht="44.25" customHeight="1">
      <c r="A7" s="247" t="s">
        <v>716</v>
      </c>
      <c r="B7" s="247"/>
      <c r="C7" s="247"/>
      <c r="D7" s="247"/>
      <c r="E7" s="247"/>
      <c r="F7" s="247"/>
      <c r="G7" s="247"/>
      <c r="H7" s="247"/>
      <c r="I7" s="247"/>
      <c r="J7" s="247"/>
      <c r="K7" s="247"/>
      <c r="L7" s="247"/>
      <c r="M7" s="247"/>
    </row>
    <row r="8" spans="1:13" ht="15.75">
      <c r="A8" s="243" t="s">
        <v>717</v>
      </c>
      <c r="B8" s="243"/>
      <c r="C8" s="243"/>
      <c r="D8" s="243"/>
      <c r="E8" s="243"/>
      <c r="F8" s="243"/>
      <c r="G8" s="243"/>
      <c r="H8" s="243"/>
      <c r="I8" s="243"/>
      <c r="J8" s="243"/>
      <c r="K8" s="243"/>
      <c r="L8" s="243"/>
      <c r="M8" s="243"/>
    </row>
    <row r="9" spans="1:13" ht="15.75">
      <c r="A9" s="244"/>
      <c r="B9" s="244"/>
      <c r="C9" s="244"/>
      <c r="D9" s="244"/>
      <c r="E9" s="244"/>
      <c r="F9" s="244"/>
      <c r="G9" s="244"/>
      <c r="H9" s="244"/>
      <c r="I9" s="244"/>
      <c r="J9" s="244"/>
      <c r="K9" s="244"/>
      <c r="L9" s="244"/>
      <c r="M9" s="244"/>
    </row>
    <row r="10" spans="1:13" ht="15.75">
      <c r="A10" s="159"/>
      <c r="B10" s="159"/>
      <c r="C10" s="159"/>
      <c r="D10" s="159"/>
      <c r="E10" s="159"/>
      <c r="F10" s="159"/>
      <c r="G10" s="159"/>
      <c r="H10" s="159"/>
      <c r="I10" s="159"/>
      <c r="J10" s="159"/>
      <c r="K10" s="159"/>
      <c r="L10" s="159"/>
      <c r="M10" s="159"/>
    </row>
    <row r="11" spans="1:13" ht="15.75">
      <c r="A11" s="140"/>
      <c r="B11" s="141"/>
      <c r="C11" s="141"/>
      <c r="D11" s="141"/>
      <c r="E11" s="142"/>
      <c r="F11" s="143"/>
      <c r="G11" s="143"/>
      <c r="H11" s="143"/>
      <c r="I11" s="160"/>
      <c r="J11" s="161"/>
      <c r="K11" s="161" t="s">
        <v>145</v>
      </c>
      <c r="L11" s="161"/>
      <c r="M11" s="144"/>
    </row>
    <row r="12" spans="1:13" ht="15.75">
      <c r="A12" s="245"/>
      <c r="B12" s="245"/>
      <c r="C12" s="245"/>
      <c r="D12" s="245"/>
      <c r="E12" s="245"/>
      <c r="F12" s="245"/>
      <c r="G12" s="245"/>
      <c r="H12" s="245"/>
      <c r="I12" s="245"/>
      <c r="J12" s="245"/>
      <c r="K12" s="145"/>
      <c r="L12" s="162"/>
      <c r="M12" s="144"/>
    </row>
    <row r="13" spans="1:13" ht="15.75">
      <c r="A13" s="140"/>
      <c r="B13" s="141"/>
      <c r="C13" s="141"/>
      <c r="D13" s="141"/>
      <c r="E13" s="141"/>
      <c r="F13" s="143"/>
      <c r="G13" s="143"/>
      <c r="H13" s="143"/>
      <c r="I13" s="143"/>
      <c r="J13" s="161"/>
      <c r="K13" s="161" t="s">
        <v>146</v>
      </c>
      <c r="L13" s="161"/>
      <c r="M13" s="144"/>
    </row>
  </sheetData>
  <sheetProtection/>
  <mergeCells count="7">
    <mergeCell ref="A8:M8"/>
    <mergeCell ref="A9:M9"/>
    <mergeCell ref="A12:J12"/>
    <mergeCell ref="A2:M2"/>
    <mergeCell ref="A4:M4"/>
    <mergeCell ref="A6:M6"/>
    <mergeCell ref="A7:M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36"/>
  <sheetViews>
    <sheetView zoomScalePageLayoutView="0" workbookViewId="0" topLeftCell="A5">
      <selection activeCell="G11" sqref="G11"/>
    </sheetView>
  </sheetViews>
  <sheetFormatPr defaultColWidth="9.00390625" defaultRowHeight="12.75"/>
  <cols>
    <col min="1" max="1" width="9.125" style="136" customWidth="1"/>
    <col min="2" max="2" width="18.375" style="136" customWidth="1"/>
    <col min="3" max="3" width="12.375" style="136" customWidth="1"/>
    <col min="4" max="4" width="16.25390625" style="136" customWidth="1"/>
    <col min="5" max="5" width="13.75390625" style="136" customWidth="1"/>
    <col min="6" max="6" width="11.75390625" style="136" customWidth="1"/>
    <col min="7" max="7" width="37.375" style="108" customWidth="1"/>
    <col min="8" max="16384" width="9.125" style="104" customWidth="1"/>
  </cols>
  <sheetData>
    <row r="1" spans="1:7" ht="74.25" customHeight="1">
      <c r="A1" s="248" t="s">
        <v>159</v>
      </c>
      <c r="B1" s="248"/>
      <c r="C1" s="248"/>
      <c r="D1" s="248"/>
      <c r="E1" s="248"/>
      <c r="F1" s="248"/>
      <c r="G1" s="248"/>
    </row>
    <row r="2" spans="1:7" ht="38.25">
      <c r="A2" s="124" t="str">
        <f>'[2]ΠΑΡΑΜΕΤΡΟΙ'!$B$11</f>
        <v>Κωδικός Αριθμός</v>
      </c>
      <c r="B2" s="124" t="str">
        <f>'[2]ΠΑΡΑΜΕΤΡΟΙ'!$B$12</f>
        <v>Κατονομασία</v>
      </c>
      <c r="C2" s="169" t="str">
        <f>'[2]ΠΑΡΑΜΕΤΡΟΙ'!$B$13&amp;'[2]ΠΑΡΑΜΕΤΡΟΙ'!$B$3&amp;'[2]ΠΑΡΑΜΕΤΡΟΙ'!$B$14</f>
        <v>Προβλέψεις για το 2010 σε ΕΥΡΩ</v>
      </c>
      <c r="D2" s="169" t="str">
        <f>'[2]ΠΑΡΑΜΕΤΡΟΙ'!$B$15</f>
        <v>Διαμόρφωση Προϋπολογισμού 2009</v>
      </c>
      <c r="E2" s="169" t="str">
        <f>'[2]ΠΑΡΑΜΕΤΡΟΙ'!$B$16</f>
        <v>Εκτίμηση Πραγμ/σεων έως 31-12-2009</v>
      </c>
      <c r="F2" s="169" t="str">
        <f>'[2]ΠΑΡΑΜΕΤΡΟΙ'!$B$17&amp;('[2]ΠΑΡΑΜΕΤΡΟΙ'!$B$3-"2")</f>
        <v>Απολογιστικά έτους 20082008</v>
      </c>
      <c r="G2" s="163" t="s">
        <v>160</v>
      </c>
    </row>
    <row r="3" spans="1:7" ht="63" customHeight="1" hidden="1">
      <c r="A3" s="164" t="s">
        <v>49</v>
      </c>
      <c r="B3" s="124" t="s">
        <v>161</v>
      </c>
      <c r="C3" s="166"/>
      <c r="D3" s="166">
        <v>0</v>
      </c>
      <c r="E3" s="166">
        <v>0</v>
      </c>
      <c r="F3" s="166">
        <v>0</v>
      </c>
      <c r="G3" s="165" t="s">
        <v>162</v>
      </c>
    </row>
    <row r="4" spans="1:7" ht="117.75" customHeight="1">
      <c r="A4" s="164" t="s">
        <v>50</v>
      </c>
      <c r="B4" s="124" t="s">
        <v>163</v>
      </c>
      <c r="C4" s="169">
        <v>1004000</v>
      </c>
      <c r="D4" s="166"/>
      <c r="E4" s="166"/>
      <c r="F4" s="166"/>
      <c r="G4" s="178" t="s">
        <v>705</v>
      </c>
    </row>
    <row r="5" spans="1:7" ht="110.25">
      <c r="A5" s="164" t="s">
        <v>467</v>
      </c>
      <c r="B5" s="124" t="s">
        <v>703</v>
      </c>
      <c r="C5" s="169">
        <v>110000</v>
      </c>
      <c r="D5" s="166"/>
      <c r="E5" s="166"/>
      <c r="F5" s="166"/>
      <c r="G5" s="178" t="s">
        <v>779</v>
      </c>
    </row>
    <row r="6" spans="1:7" ht="84" customHeight="1">
      <c r="A6" s="164" t="s">
        <v>73</v>
      </c>
      <c r="B6" s="124" t="s">
        <v>652</v>
      </c>
      <c r="C6" s="169">
        <v>2000</v>
      </c>
      <c r="D6" s="166"/>
      <c r="E6" s="166"/>
      <c r="F6" s="166"/>
      <c r="G6" s="178" t="s">
        <v>708</v>
      </c>
    </row>
    <row r="7" spans="1:7" ht="49.5" customHeight="1" hidden="1">
      <c r="A7" s="164" t="s">
        <v>77</v>
      </c>
      <c r="B7" s="124" t="s">
        <v>626</v>
      </c>
      <c r="C7" s="169"/>
      <c r="D7" s="166"/>
      <c r="E7" s="166"/>
      <c r="F7" s="166"/>
      <c r="G7" s="178" t="s">
        <v>627</v>
      </c>
    </row>
    <row r="8" spans="1:7" ht="70.5" customHeight="1" hidden="1">
      <c r="A8" s="164" t="s">
        <v>460</v>
      </c>
      <c r="B8" s="124" t="s">
        <v>628</v>
      </c>
      <c r="C8" s="169"/>
      <c r="D8" s="166"/>
      <c r="E8" s="166"/>
      <c r="F8" s="166"/>
      <c r="G8" s="178" t="s">
        <v>629</v>
      </c>
    </row>
    <row r="9" spans="1:7" ht="69.75" customHeight="1">
      <c r="A9" s="164" t="s">
        <v>463</v>
      </c>
      <c r="B9" s="124" t="s">
        <v>778</v>
      </c>
      <c r="C9" s="169">
        <v>4827000</v>
      </c>
      <c r="D9" s="166"/>
      <c r="E9" s="166"/>
      <c r="F9" s="166"/>
      <c r="G9" s="178" t="s">
        <v>783</v>
      </c>
    </row>
    <row r="10" spans="1:7" ht="189">
      <c r="A10" s="164" t="s">
        <v>478</v>
      </c>
      <c r="B10" s="124" t="s">
        <v>706</v>
      </c>
      <c r="C10" s="169">
        <v>180000</v>
      </c>
      <c r="D10" s="166"/>
      <c r="E10" s="166"/>
      <c r="F10" s="166"/>
      <c r="G10" s="178" t="s">
        <v>781</v>
      </c>
    </row>
    <row r="11" spans="1:7" ht="82.5" customHeight="1">
      <c r="A11" s="164" t="s">
        <v>65</v>
      </c>
      <c r="B11" s="124" t="s">
        <v>707</v>
      </c>
      <c r="C11" s="169">
        <v>140000</v>
      </c>
      <c r="D11" s="166"/>
      <c r="E11" s="166"/>
      <c r="F11" s="166"/>
      <c r="G11" s="178" t="s">
        <v>780</v>
      </c>
    </row>
    <row r="12" spans="1:7" ht="69" customHeight="1">
      <c r="A12" s="164" t="s">
        <v>104</v>
      </c>
      <c r="B12" s="124" t="s">
        <v>580</v>
      </c>
      <c r="C12" s="169">
        <v>30000</v>
      </c>
      <c r="D12" s="166"/>
      <c r="E12" s="166"/>
      <c r="F12" s="166"/>
      <c r="G12" s="178" t="s">
        <v>581</v>
      </c>
    </row>
    <row r="13" spans="1:7" ht="15.75" hidden="1">
      <c r="A13" s="164"/>
      <c r="B13" s="124"/>
      <c r="C13" s="169"/>
      <c r="D13" s="166"/>
      <c r="E13" s="166"/>
      <c r="F13" s="166"/>
      <c r="G13" s="178"/>
    </row>
    <row r="14" spans="1:7" ht="81.75" customHeight="1">
      <c r="A14" s="164" t="s">
        <v>343</v>
      </c>
      <c r="B14" s="124" t="s">
        <v>582</v>
      </c>
      <c r="C14" s="169">
        <v>5000</v>
      </c>
      <c r="D14" s="166"/>
      <c r="E14" s="166"/>
      <c r="F14" s="166"/>
      <c r="G14" s="178" t="s">
        <v>653</v>
      </c>
    </row>
    <row r="15" spans="1:7" ht="63">
      <c r="A15" s="164" t="s">
        <v>347</v>
      </c>
      <c r="B15" s="124" t="s">
        <v>709</v>
      </c>
      <c r="C15" s="169">
        <v>160000</v>
      </c>
      <c r="D15" s="166"/>
      <c r="E15" s="166"/>
      <c r="F15" s="166"/>
      <c r="G15" s="178" t="s">
        <v>711</v>
      </c>
    </row>
    <row r="16" spans="1:7" ht="63">
      <c r="A16" s="164" t="s">
        <v>21</v>
      </c>
      <c r="B16" s="124" t="s">
        <v>663</v>
      </c>
      <c r="C16" s="169">
        <v>282000</v>
      </c>
      <c r="D16" s="166"/>
      <c r="E16" s="166"/>
      <c r="F16" s="166"/>
      <c r="G16" s="178" t="s">
        <v>710</v>
      </c>
    </row>
    <row r="17" spans="1:7" ht="15.75" hidden="1">
      <c r="A17" s="164"/>
      <c r="B17" s="124"/>
      <c r="C17" s="169"/>
      <c r="D17" s="166"/>
      <c r="E17" s="166"/>
      <c r="F17" s="166"/>
      <c r="G17" s="178"/>
    </row>
    <row r="18" spans="1:7" ht="62.25" customHeight="1">
      <c r="A18" s="164" t="s">
        <v>776</v>
      </c>
      <c r="B18" s="124" t="s">
        <v>583</v>
      </c>
      <c r="C18" s="169">
        <v>2000</v>
      </c>
      <c r="D18" s="166"/>
      <c r="E18" s="166"/>
      <c r="F18" s="166"/>
      <c r="G18" s="178" t="s">
        <v>654</v>
      </c>
    </row>
    <row r="19" spans="1:7" ht="31.5">
      <c r="A19" s="164" t="s">
        <v>385</v>
      </c>
      <c r="B19" s="124" t="s">
        <v>656</v>
      </c>
      <c r="C19" s="169">
        <v>809000</v>
      </c>
      <c r="D19" s="166"/>
      <c r="E19" s="166"/>
      <c r="F19" s="166"/>
      <c r="G19" s="178" t="s">
        <v>657</v>
      </c>
    </row>
    <row r="20" spans="1:7" ht="121.5" customHeight="1">
      <c r="A20" s="164" t="s">
        <v>31</v>
      </c>
      <c r="B20" s="124" t="s">
        <v>584</v>
      </c>
      <c r="C20" s="169">
        <v>300000</v>
      </c>
      <c r="D20" s="166"/>
      <c r="E20" s="166"/>
      <c r="F20" s="166"/>
      <c r="G20" s="178" t="s">
        <v>788</v>
      </c>
    </row>
    <row r="21" spans="1:7" ht="15.75" hidden="1">
      <c r="A21" s="164"/>
      <c r="B21" s="124"/>
      <c r="C21" s="169"/>
      <c r="D21" s="166"/>
      <c r="E21" s="166"/>
      <c r="F21" s="166"/>
      <c r="G21" s="178"/>
    </row>
    <row r="22" spans="1:7" ht="79.5" customHeight="1">
      <c r="A22" s="164" t="s">
        <v>639</v>
      </c>
      <c r="B22" s="124" t="s">
        <v>655</v>
      </c>
      <c r="C22" s="169">
        <v>25000</v>
      </c>
      <c r="D22" s="166"/>
      <c r="E22" s="166"/>
      <c r="F22" s="166"/>
      <c r="G22" s="178" t="s">
        <v>782</v>
      </c>
    </row>
    <row r="23" spans="1:7" ht="15.75">
      <c r="A23" s="167"/>
      <c r="B23" s="170" t="s">
        <v>25</v>
      </c>
      <c r="C23" s="192"/>
      <c r="D23" s="168"/>
      <c r="E23" s="168"/>
      <c r="F23" s="168"/>
      <c r="G23" s="179"/>
    </row>
    <row r="24" spans="1:7" ht="63" customHeight="1" hidden="1">
      <c r="A24" s="164" t="s">
        <v>421</v>
      </c>
      <c r="B24" s="124" t="s">
        <v>585</v>
      </c>
      <c r="C24" s="169">
        <v>0</v>
      </c>
      <c r="D24" s="166"/>
      <c r="E24" s="166"/>
      <c r="F24" s="166"/>
      <c r="G24" s="178"/>
    </row>
    <row r="25" spans="1:7" ht="25.5" hidden="1">
      <c r="A25" s="164" t="s">
        <v>83</v>
      </c>
      <c r="B25" s="124" t="s">
        <v>586</v>
      </c>
      <c r="C25" s="169">
        <v>0</v>
      </c>
      <c r="D25" s="166"/>
      <c r="E25" s="166"/>
      <c r="F25" s="166"/>
      <c r="G25" s="178"/>
    </row>
    <row r="26" spans="1:7" ht="25.5" hidden="1">
      <c r="A26" s="164" t="s">
        <v>85</v>
      </c>
      <c r="B26" s="124" t="s">
        <v>587</v>
      </c>
      <c r="C26" s="169"/>
      <c r="D26" s="166"/>
      <c r="E26" s="166"/>
      <c r="F26" s="166"/>
      <c r="G26" s="178"/>
    </row>
    <row r="27" spans="1:7" ht="66.75" customHeight="1">
      <c r="A27" s="164" t="s">
        <v>670</v>
      </c>
      <c r="B27" s="124" t="s">
        <v>423</v>
      </c>
      <c r="C27" s="169">
        <v>450000</v>
      </c>
      <c r="D27" s="166"/>
      <c r="E27" s="166"/>
      <c r="F27" s="166"/>
      <c r="G27" s="178" t="s">
        <v>736</v>
      </c>
    </row>
    <row r="28" spans="1:7" ht="57.75" customHeight="1" hidden="1">
      <c r="A28" s="164" t="s">
        <v>88</v>
      </c>
      <c r="B28" s="124" t="s">
        <v>588</v>
      </c>
      <c r="C28" s="169"/>
      <c r="D28" s="166"/>
      <c r="E28" s="166"/>
      <c r="F28" s="166"/>
      <c r="G28" s="178"/>
    </row>
    <row r="29" spans="1:7" ht="62.25" customHeight="1">
      <c r="A29" s="164" t="s">
        <v>89</v>
      </c>
      <c r="B29" s="124" t="s">
        <v>589</v>
      </c>
      <c r="C29" s="169">
        <v>15000</v>
      </c>
      <c r="D29" s="166"/>
      <c r="E29" s="166"/>
      <c r="F29" s="166"/>
      <c r="G29" s="178" t="s">
        <v>658</v>
      </c>
    </row>
    <row r="30" spans="1:7" ht="94.5">
      <c r="A30" s="164" t="s">
        <v>665</v>
      </c>
      <c r="B30" s="124" t="s">
        <v>492</v>
      </c>
      <c r="C30" s="169">
        <v>70000</v>
      </c>
      <c r="D30" s="166"/>
      <c r="E30" s="166"/>
      <c r="F30" s="166"/>
      <c r="G30" s="178" t="s">
        <v>666</v>
      </c>
    </row>
    <row r="31" spans="1:7" ht="75" customHeight="1">
      <c r="A31" s="164" t="s">
        <v>96</v>
      </c>
      <c r="B31" s="124" t="s">
        <v>590</v>
      </c>
      <c r="C31" s="169">
        <v>30000</v>
      </c>
      <c r="D31" s="166"/>
      <c r="E31" s="166"/>
      <c r="F31" s="166"/>
      <c r="G31" s="178" t="s">
        <v>351</v>
      </c>
    </row>
    <row r="32" spans="1:7" ht="49.5" customHeight="1">
      <c r="A32" s="164" t="s">
        <v>98</v>
      </c>
      <c r="B32" s="124" t="s">
        <v>591</v>
      </c>
      <c r="C32" s="169">
        <v>115000</v>
      </c>
      <c r="D32" s="166"/>
      <c r="E32" s="166"/>
      <c r="F32" s="166"/>
      <c r="G32" s="178" t="s">
        <v>735</v>
      </c>
    </row>
    <row r="33" spans="1:7" ht="78.75" customHeight="1">
      <c r="A33" s="164" t="s">
        <v>431</v>
      </c>
      <c r="B33" s="124" t="s">
        <v>630</v>
      </c>
      <c r="C33" s="169">
        <v>150000</v>
      </c>
      <c r="D33" s="166"/>
      <c r="E33" s="166"/>
      <c r="F33" s="166"/>
      <c r="G33" s="178" t="s">
        <v>784</v>
      </c>
    </row>
    <row r="34" spans="1:7" ht="70.5" customHeight="1">
      <c r="A34" s="164" t="s">
        <v>433</v>
      </c>
      <c r="B34" s="124" t="s">
        <v>236</v>
      </c>
      <c r="C34" s="169">
        <v>780000</v>
      </c>
      <c r="D34" s="166"/>
      <c r="E34" s="166"/>
      <c r="F34" s="166"/>
      <c r="G34" s="178" t="s">
        <v>720</v>
      </c>
    </row>
    <row r="35" spans="1:7" ht="70.5" customHeight="1">
      <c r="A35" s="164" t="s">
        <v>437</v>
      </c>
      <c r="B35" s="124" t="s">
        <v>659</v>
      </c>
      <c r="C35" s="169">
        <v>20000</v>
      </c>
      <c r="D35" s="166"/>
      <c r="E35" s="166"/>
      <c r="F35" s="166"/>
      <c r="G35" s="178" t="s">
        <v>660</v>
      </c>
    </row>
    <row r="36" spans="1:7" ht="92.25" customHeight="1">
      <c r="A36" s="164" t="s">
        <v>439</v>
      </c>
      <c r="B36" s="124" t="s">
        <v>785</v>
      </c>
      <c r="C36" s="169">
        <v>35000</v>
      </c>
      <c r="D36" s="166"/>
      <c r="E36" s="166"/>
      <c r="F36" s="166"/>
      <c r="G36" s="178" t="s">
        <v>787</v>
      </c>
    </row>
    <row r="37" spans="1:7" ht="54" customHeight="1" hidden="1">
      <c r="A37" s="164" t="s">
        <v>457</v>
      </c>
      <c r="B37" s="124" t="s">
        <v>237</v>
      </c>
      <c r="C37" s="169"/>
      <c r="D37" s="166"/>
      <c r="E37" s="166"/>
      <c r="F37" s="166"/>
      <c r="G37" s="178" t="s">
        <v>337</v>
      </c>
    </row>
    <row r="38" spans="1:7" ht="45" customHeight="1">
      <c r="A38" s="164" t="s">
        <v>667</v>
      </c>
      <c r="B38" s="124" t="s">
        <v>668</v>
      </c>
      <c r="C38" s="169">
        <v>4500</v>
      </c>
      <c r="D38" s="166"/>
      <c r="E38" s="166"/>
      <c r="F38" s="166"/>
      <c r="G38" s="178" t="s">
        <v>721</v>
      </c>
    </row>
    <row r="39" spans="1:7" ht="31.5">
      <c r="A39" s="164" t="s">
        <v>443</v>
      </c>
      <c r="B39" s="124" t="s">
        <v>722</v>
      </c>
      <c r="C39" s="169">
        <v>260000</v>
      </c>
      <c r="D39" s="166"/>
      <c r="E39" s="166"/>
      <c r="F39" s="166"/>
      <c r="G39" s="178" t="s">
        <v>723</v>
      </c>
    </row>
    <row r="40" spans="1:7" ht="37.5" customHeight="1">
      <c r="A40" s="164" t="s">
        <v>771</v>
      </c>
      <c r="B40" s="124" t="s">
        <v>774</v>
      </c>
      <c r="C40" s="169">
        <v>200000</v>
      </c>
      <c r="D40" s="166"/>
      <c r="E40" s="166"/>
      <c r="F40" s="166"/>
      <c r="G40" s="178" t="s">
        <v>775</v>
      </c>
    </row>
    <row r="41" spans="1:7" ht="38.25" hidden="1">
      <c r="A41" s="164" t="s">
        <v>121</v>
      </c>
      <c r="B41" s="124" t="s">
        <v>238</v>
      </c>
      <c r="C41" s="169"/>
      <c r="D41" s="166"/>
      <c r="E41" s="166"/>
      <c r="F41" s="166"/>
      <c r="G41" s="178" t="s">
        <v>239</v>
      </c>
    </row>
    <row r="42" spans="1:7" ht="41.25" customHeight="1" hidden="1">
      <c r="A42" s="164" t="s">
        <v>122</v>
      </c>
      <c r="B42" s="124" t="s">
        <v>123</v>
      </c>
      <c r="C42" s="169"/>
      <c r="D42" s="166"/>
      <c r="E42" s="166"/>
      <c r="F42" s="166"/>
      <c r="G42" s="178" t="s">
        <v>240</v>
      </c>
    </row>
    <row r="43" spans="1:7" ht="50.25" customHeight="1">
      <c r="A43" s="164" t="s">
        <v>128</v>
      </c>
      <c r="B43" s="124" t="s">
        <v>241</v>
      </c>
      <c r="C43" s="169">
        <v>250000</v>
      </c>
      <c r="D43" s="166"/>
      <c r="E43" s="166"/>
      <c r="F43" s="166"/>
      <c r="G43" s="178" t="s">
        <v>682</v>
      </c>
    </row>
    <row r="44" spans="1:7" ht="36" customHeight="1" hidden="1">
      <c r="A44" s="164"/>
      <c r="B44" s="124"/>
      <c r="C44" s="169"/>
      <c r="D44" s="166"/>
      <c r="E44" s="166"/>
      <c r="F44" s="166"/>
      <c r="G44" s="178"/>
    </row>
    <row r="45" spans="1:7" ht="47.25" hidden="1">
      <c r="A45" s="164" t="s">
        <v>130</v>
      </c>
      <c r="B45" s="124" t="s">
        <v>242</v>
      </c>
      <c r="C45" s="169"/>
      <c r="D45" s="166"/>
      <c r="E45" s="166"/>
      <c r="F45" s="166"/>
      <c r="G45" s="178" t="s">
        <v>243</v>
      </c>
    </row>
    <row r="46" spans="1:7" ht="63.75">
      <c r="A46" s="164" t="s">
        <v>139</v>
      </c>
      <c r="B46" s="124" t="s">
        <v>244</v>
      </c>
      <c r="C46" s="169">
        <v>3000</v>
      </c>
      <c r="D46" s="166"/>
      <c r="E46" s="166"/>
      <c r="F46" s="166"/>
      <c r="G46" s="178" t="s">
        <v>245</v>
      </c>
    </row>
    <row r="47" spans="1:7" ht="74.25" customHeight="1" hidden="1">
      <c r="A47" s="164"/>
      <c r="B47" s="124"/>
      <c r="C47" s="169"/>
      <c r="D47" s="166"/>
      <c r="E47" s="166"/>
      <c r="F47" s="166"/>
      <c r="G47" s="178"/>
    </row>
    <row r="48" spans="1:7" ht="63.75">
      <c r="A48" s="164" t="s">
        <v>143</v>
      </c>
      <c r="B48" s="124" t="s">
        <v>246</v>
      </c>
      <c r="C48" s="169">
        <v>2000</v>
      </c>
      <c r="D48" s="166"/>
      <c r="E48" s="166"/>
      <c r="F48" s="166"/>
      <c r="G48" s="178" t="s">
        <v>247</v>
      </c>
    </row>
    <row r="49" spans="1:7" ht="81.75" customHeight="1" hidden="1">
      <c r="A49" s="164"/>
      <c r="B49" s="124"/>
      <c r="C49" s="169"/>
      <c r="D49" s="166"/>
      <c r="E49" s="166"/>
      <c r="F49" s="166"/>
      <c r="G49" s="178"/>
    </row>
    <row r="50" spans="1:7" ht="47.25">
      <c r="A50" s="164" t="s">
        <v>489</v>
      </c>
      <c r="B50" s="124" t="s">
        <v>490</v>
      </c>
      <c r="C50" s="169">
        <v>15000</v>
      </c>
      <c r="D50" s="166"/>
      <c r="E50" s="166"/>
      <c r="F50" s="166"/>
      <c r="G50" s="178" t="s">
        <v>674</v>
      </c>
    </row>
    <row r="51" spans="1:7" ht="75" customHeight="1">
      <c r="A51" s="164" t="s">
        <v>493</v>
      </c>
      <c r="B51" s="124" t="s">
        <v>248</v>
      </c>
      <c r="C51" s="169">
        <v>100</v>
      </c>
      <c r="D51" s="166"/>
      <c r="E51" s="166"/>
      <c r="F51" s="166"/>
      <c r="G51" s="178" t="s">
        <v>737</v>
      </c>
    </row>
    <row r="52" spans="1:7" ht="30" customHeight="1">
      <c r="A52" s="164" t="s">
        <v>504</v>
      </c>
      <c r="B52" s="124" t="s">
        <v>631</v>
      </c>
      <c r="C52" s="169">
        <v>3000</v>
      </c>
      <c r="D52" s="166"/>
      <c r="E52" s="166"/>
      <c r="F52" s="166"/>
      <c r="G52" s="178" t="s">
        <v>724</v>
      </c>
    </row>
    <row r="53" spans="1:7" ht="94.5" hidden="1">
      <c r="A53" s="164" t="s">
        <v>501</v>
      </c>
      <c r="B53" s="124" t="s">
        <v>249</v>
      </c>
      <c r="C53" s="169"/>
      <c r="D53" s="166"/>
      <c r="E53" s="166"/>
      <c r="F53" s="166"/>
      <c r="G53" s="178" t="s">
        <v>250</v>
      </c>
    </row>
    <row r="54" spans="1:7" ht="72" customHeight="1">
      <c r="A54" s="164" t="s">
        <v>506</v>
      </c>
      <c r="B54" s="124" t="s">
        <v>251</v>
      </c>
      <c r="C54" s="169">
        <v>35000</v>
      </c>
      <c r="D54" s="166"/>
      <c r="E54" s="166"/>
      <c r="F54" s="166"/>
      <c r="G54" s="178" t="s">
        <v>427</v>
      </c>
    </row>
    <row r="55" spans="1:7" ht="48" customHeight="1" hidden="1">
      <c r="A55" s="164" t="s">
        <v>508</v>
      </c>
      <c r="B55" s="124" t="s">
        <v>252</v>
      </c>
      <c r="C55" s="169"/>
      <c r="D55" s="166"/>
      <c r="E55" s="166"/>
      <c r="F55" s="166"/>
      <c r="G55" s="178"/>
    </row>
    <row r="56" spans="1:7" ht="45" customHeight="1">
      <c r="A56" s="164" t="s">
        <v>511</v>
      </c>
      <c r="B56" s="124" t="s">
        <v>512</v>
      </c>
      <c r="C56" s="169">
        <v>40000</v>
      </c>
      <c r="D56" s="166"/>
      <c r="E56" s="166"/>
      <c r="F56" s="166"/>
      <c r="G56" s="178" t="s">
        <v>635</v>
      </c>
    </row>
    <row r="57" spans="1:7" ht="15.75" hidden="1">
      <c r="A57" s="164"/>
      <c r="B57" s="124"/>
      <c r="C57" s="169"/>
      <c r="D57" s="166"/>
      <c r="E57" s="166"/>
      <c r="F57" s="166"/>
      <c r="G57" s="178"/>
    </row>
    <row r="58" spans="1:7" ht="63.75">
      <c r="A58" s="164" t="s">
        <v>513</v>
      </c>
      <c r="B58" s="124" t="s">
        <v>253</v>
      </c>
      <c r="C58" s="169">
        <v>515000</v>
      </c>
      <c r="D58" s="166"/>
      <c r="E58" s="166"/>
      <c r="F58" s="166"/>
      <c r="G58" s="178" t="s">
        <v>661</v>
      </c>
    </row>
    <row r="59" spans="1:7" ht="70.5" customHeight="1" hidden="1">
      <c r="A59" s="164"/>
      <c r="B59" s="124"/>
      <c r="C59" s="169"/>
      <c r="D59" s="166"/>
      <c r="E59" s="166"/>
      <c r="F59" s="166"/>
      <c r="G59" s="178"/>
    </row>
    <row r="60" spans="1:7" ht="64.5" customHeight="1">
      <c r="A60" s="164" t="s">
        <v>517</v>
      </c>
      <c r="B60" s="124" t="s">
        <v>725</v>
      </c>
      <c r="C60" s="169">
        <v>7000</v>
      </c>
      <c r="D60" s="166"/>
      <c r="E60" s="166"/>
      <c r="F60" s="166"/>
      <c r="G60" s="178" t="s">
        <v>726</v>
      </c>
    </row>
    <row r="61" spans="1:7" ht="108" customHeight="1" hidden="1">
      <c r="A61" s="164"/>
      <c r="B61" s="124"/>
      <c r="C61" s="169"/>
      <c r="D61" s="166"/>
      <c r="E61" s="166"/>
      <c r="F61" s="166"/>
      <c r="G61" s="178"/>
    </row>
    <row r="62" spans="1:7" ht="38.25" customHeight="1">
      <c r="A62" s="164" t="s">
        <v>664</v>
      </c>
      <c r="B62" s="124" t="s">
        <v>165</v>
      </c>
      <c r="C62" s="169">
        <v>9000</v>
      </c>
      <c r="D62" s="166"/>
      <c r="E62" s="166"/>
      <c r="F62" s="166"/>
      <c r="G62" s="178" t="s">
        <v>673</v>
      </c>
    </row>
    <row r="63" spans="1:7" ht="66" customHeight="1" hidden="1">
      <c r="A63" s="164"/>
      <c r="B63" s="124"/>
      <c r="C63" s="169"/>
      <c r="D63" s="166"/>
      <c r="E63" s="166"/>
      <c r="F63" s="166"/>
      <c r="G63" s="178"/>
    </row>
    <row r="64" spans="1:7" ht="47.25">
      <c r="A64" s="164" t="s">
        <v>133</v>
      </c>
      <c r="B64" s="124" t="s">
        <v>727</v>
      </c>
      <c r="C64" s="169">
        <v>10000</v>
      </c>
      <c r="D64" s="166"/>
      <c r="E64" s="166"/>
      <c r="F64" s="166"/>
      <c r="G64" s="178" t="s">
        <v>728</v>
      </c>
    </row>
    <row r="65" spans="1:7" ht="52.5" customHeight="1" hidden="1">
      <c r="A65" s="164"/>
      <c r="B65" s="124"/>
      <c r="C65" s="169"/>
      <c r="D65" s="166"/>
      <c r="E65" s="166"/>
      <c r="F65" s="166"/>
      <c r="G65" s="178"/>
    </row>
    <row r="66" spans="1:7" ht="78.75">
      <c r="A66" s="164" t="s">
        <v>183</v>
      </c>
      <c r="B66" s="124" t="s">
        <v>254</v>
      </c>
      <c r="C66" s="169">
        <v>50000</v>
      </c>
      <c r="D66" s="166"/>
      <c r="E66" s="166"/>
      <c r="F66" s="166"/>
      <c r="G66" s="178" t="s">
        <v>729</v>
      </c>
    </row>
    <row r="67" spans="1:7" ht="58.5" customHeight="1" hidden="1">
      <c r="A67" s="164"/>
      <c r="B67" s="124"/>
      <c r="C67" s="169"/>
      <c r="D67" s="166"/>
      <c r="E67" s="166"/>
      <c r="F67" s="166"/>
      <c r="G67" s="178"/>
    </row>
    <row r="68" spans="1:7" ht="38.25">
      <c r="A68" s="164" t="s">
        <v>187</v>
      </c>
      <c r="B68" s="124" t="s">
        <v>255</v>
      </c>
      <c r="C68" s="169">
        <v>20000</v>
      </c>
      <c r="D68" s="166"/>
      <c r="E68" s="166"/>
      <c r="F68" s="166"/>
      <c r="G68" s="178" t="s">
        <v>675</v>
      </c>
    </row>
    <row r="69" spans="1:7" ht="57.75" customHeight="1" hidden="1">
      <c r="A69" s="164"/>
      <c r="B69" s="124"/>
      <c r="C69" s="169"/>
      <c r="D69" s="166"/>
      <c r="E69" s="166"/>
      <c r="F69" s="166"/>
      <c r="G69" s="178"/>
    </row>
    <row r="70" spans="1:7" ht="38.25">
      <c r="A70" s="164" t="s">
        <v>731</v>
      </c>
      <c r="B70" s="124" t="s">
        <v>196</v>
      </c>
      <c r="C70" s="169">
        <v>30000</v>
      </c>
      <c r="D70" s="166"/>
      <c r="E70" s="166"/>
      <c r="F70" s="166"/>
      <c r="G70" s="178" t="s">
        <v>622</v>
      </c>
    </row>
    <row r="71" spans="1:7" ht="67.5" customHeight="1" hidden="1">
      <c r="A71" s="164"/>
      <c r="B71" s="124"/>
      <c r="C71" s="169"/>
      <c r="D71" s="166"/>
      <c r="E71" s="166"/>
      <c r="F71" s="166"/>
      <c r="G71" s="178"/>
    </row>
    <row r="72" spans="1:7" ht="69" customHeight="1" hidden="1">
      <c r="A72" s="164"/>
      <c r="B72" s="124"/>
      <c r="C72" s="169"/>
      <c r="D72" s="166"/>
      <c r="E72" s="166"/>
      <c r="F72" s="166"/>
      <c r="G72" s="178"/>
    </row>
    <row r="73" spans="1:7" ht="89.25">
      <c r="A73" s="164" t="s">
        <v>200</v>
      </c>
      <c r="B73" s="124" t="s">
        <v>597</v>
      </c>
      <c r="C73" s="169">
        <v>15000</v>
      </c>
      <c r="D73" s="166"/>
      <c r="E73" s="166"/>
      <c r="F73" s="166"/>
      <c r="G73" s="178" t="s">
        <v>730</v>
      </c>
    </row>
    <row r="74" spans="1:7" ht="117.75" customHeight="1" hidden="1">
      <c r="A74" s="164"/>
      <c r="B74" s="124"/>
      <c r="C74" s="169"/>
      <c r="D74" s="166"/>
      <c r="E74" s="166"/>
      <c r="F74" s="166"/>
      <c r="G74" s="178"/>
    </row>
    <row r="75" spans="1:7" ht="67.5" customHeight="1" hidden="1">
      <c r="A75" s="164"/>
      <c r="B75" s="124"/>
      <c r="C75" s="169"/>
      <c r="D75" s="166"/>
      <c r="E75" s="166"/>
      <c r="F75" s="166"/>
      <c r="G75" s="178"/>
    </row>
    <row r="76" spans="1:7" ht="60" customHeight="1" hidden="1">
      <c r="A76" s="164"/>
      <c r="B76" s="124"/>
      <c r="C76" s="169"/>
      <c r="D76" s="166"/>
      <c r="E76" s="166"/>
      <c r="F76" s="166"/>
      <c r="G76" s="178"/>
    </row>
    <row r="77" spans="1:7" ht="31.5">
      <c r="A77" s="164" t="s">
        <v>206</v>
      </c>
      <c r="B77" s="124" t="s">
        <v>207</v>
      </c>
      <c r="C77" s="169">
        <v>20000</v>
      </c>
      <c r="D77" s="166"/>
      <c r="E77" s="166"/>
      <c r="F77" s="166"/>
      <c r="G77" s="178" t="s">
        <v>598</v>
      </c>
    </row>
    <row r="78" spans="1:7" ht="36" customHeight="1" hidden="1">
      <c r="A78" s="164"/>
      <c r="B78" s="124"/>
      <c r="C78" s="169"/>
      <c r="D78" s="166"/>
      <c r="E78" s="166"/>
      <c r="F78" s="166"/>
      <c r="G78" s="178"/>
    </row>
    <row r="79" spans="1:7" ht="31.5">
      <c r="A79" s="164" t="s">
        <v>212</v>
      </c>
      <c r="B79" s="124" t="s">
        <v>599</v>
      </c>
      <c r="C79" s="169">
        <v>65000</v>
      </c>
      <c r="D79" s="166"/>
      <c r="E79" s="166"/>
      <c r="F79" s="166"/>
      <c r="G79" s="178" t="s">
        <v>676</v>
      </c>
    </row>
    <row r="80" spans="1:7" ht="29.25" customHeight="1" hidden="1">
      <c r="A80" s="164"/>
      <c r="B80" s="124"/>
      <c r="C80" s="169"/>
      <c r="D80" s="166"/>
      <c r="E80" s="166"/>
      <c r="F80" s="166"/>
      <c r="G80" s="178"/>
    </row>
    <row r="81" spans="1:7" ht="63.75">
      <c r="A81" s="164" t="s">
        <v>225</v>
      </c>
      <c r="B81" s="124" t="s">
        <v>600</v>
      </c>
      <c r="C81" s="169">
        <v>16000</v>
      </c>
      <c r="D81" s="166"/>
      <c r="E81" s="166"/>
      <c r="F81" s="166"/>
      <c r="G81" s="178" t="s">
        <v>601</v>
      </c>
    </row>
    <row r="82" spans="1:7" ht="54" customHeight="1" hidden="1">
      <c r="A82" s="164"/>
      <c r="B82" s="124"/>
      <c r="C82" s="169"/>
      <c r="D82" s="166"/>
      <c r="E82" s="166"/>
      <c r="F82" s="166"/>
      <c r="G82" s="178"/>
    </row>
    <row r="83" spans="1:7" ht="63.75">
      <c r="A83" s="164" t="s">
        <v>229</v>
      </c>
      <c r="B83" s="124" t="s">
        <v>636</v>
      </c>
      <c r="C83" s="169">
        <v>2400</v>
      </c>
      <c r="D83" s="166"/>
      <c r="E83" s="166"/>
      <c r="F83" s="166"/>
      <c r="G83" s="178" t="s">
        <v>632</v>
      </c>
    </row>
    <row r="84" spans="1:7" ht="64.5" customHeight="1" hidden="1">
      <c r="A84" s="164"/>
      <c r="B84" s="124"/>
      <c r="C84" s="169"/>
      <c r="D84" s="166"/>
      <c r="E84" s="166"/>
      <c r="F84" s="166"/>
      <c r="G84" s="178"/>
    </row>
    <row r="85" spans="1:7" ht="39.75" customHeight="1" hidden="1">
      <c r="A85" s="164"/>
      <c r="B85" s="124"/>
      <c r="C85" s="169"/>
      <c r="D85" s="166"/>
      <c r="E85" s="166"/>
      <c r="F85" s="166"/>
      <c r="G85" s="178"/>
    </row>
    <row r="86" spans="1:7" ht="46.5" customHeight="1" hidden="1">
      <c r="A86" s="164"/>
      <c r="B86" s="124"/>
      <c r="C86" s="169"/>
      <c r="D86" s="166"/>
      <c r="E86" s="166"/>
      <c r="F86" s="166"/>
      <c r="G86" s="178"/>
    </row>
    <row r="87" spans="1:7" ht="63">
      <c r="A87" s="164" t="s">
        <v>538</v>
      </c>
      <c r="B87" s="124" t="s">
        <v>602</v>
      </c>
      <c r="C87" s="169">
        <v>20500</v>
      </c>
      <c r="D87" s="166"/>
      <c r="E87" s="166"/>
      <c r="F87" s="166"/>
      <c r="G87" s="178" t="s">
        <v>603</v>
      </c>
    </row>
    <row r="88" spans="1:7" ht="46.5" customHeight="1">
      <c r="A88" s="164" t="s">
        <v>546</v>
      </c>
      <c r="B88" s="124" t="s">
        <v>547</v>
      </c>
      <c r="C88" s="169">
        <v>3000</v>
      </c>
      <c r="D88" s="166"/>
      <c r="E88" s="166"/>
      <c r="F88" s="166"/>
      <c r="G88" s="178" t="s">
        <v>316</v>
      </c>
    </row>
    <row r="89" spans="1:7" ht="47.25" hidden="1">
      <c r="A89" s="164" t="s">
        <v>52</v>
      </c>
      <c r="B89" s="124" t="s">
        <v>547</v>
      </c>
      <c r="C89" s="169">
        <v>500</v>
      </c>
      <c r="D89" s="166"/>
      <c r="E89" s="166"/>
      <c r="F89" s="166"/>
      <c r="G89" s="178" t="s">
        <v>316</v>
      </c>
    </row>
    <row r="90" spans="1:7" ht="36" customHeight="1" hidden="1">
      <c r="A90" s="164"/>
      <c r="B90" s="124"/>
      <c r="C90" s="169"/>
      <c r="D90" s="166"/>
      <c r="E90" s="166"/>
      <c r="F90" s="166"/>
      <c r="G90" s="178"/>
    </row>
    <row r="91" spans="1:7" ht="32.25" customHeight="1">
      <c r="A91" s="164" t="s">
        <v>558</v>
      </c>
      <c r="B91" s="124" t="s">
        <v>559</v>
      </c>
      <c r="C91" s="169">
        <v>55000</v>
      </c>
      <c r="D91" s="166"/>
      <c r="E91" s="166"/>
      <c r="F91" s="166"/>
      <c r="G91" s="178" t="s">
        <v>633</v>
      </c>
    </row>
    <row r="92" spans="1:7" ht="33.75" customHeight="1" hidden="1">
      <c r="A92" s="164"/>
      <c r="B92" s="124"/>
      <c r="C92" s="169"/>
      <c r="D92" s="166"/>
      <c r="E92" s="166"/>
      <c r="F92" s="166"/>
      <c r="G92" s="178"/>
    </row>
    <row r="93" spans="1:7" ht="252">
      <c r="A93" s="164" t="s">
        <v>561</v>
      </c>
      <c r="B93" s="124" t="s">
        <v>562</v>
      </c>
      <c r="C93" s="169">
        <v>310000</v>
      </c>
      <c r="D93" s="166"/>
      <c r="E93" s="166"/>
      <c r="F93" s="166"/>
      <c r="G93" s="178" t="s">
        <v>786</v>
      </c>
    </row>
    <row r="94" spans="1:7" ht="34.5" customHeight="1" hidden="1">
      <c r="A94" s="164"/>
      <c r="B94" s="124"/>
      <c r="C94" s="169"/>
      <c r="D94" s="166"/>
      <c r="E94" s="166"/>
      <c r="F94" s="166"/>
      <c r="G94" s="178"/>
    </row>
    <row r="95" spans="1:7" ht="38.25">
      <c r="A95" s="164" t="s">
        <v>571</v>
      </c>
      <c r="B95" s="124" t="s">
        <v>572</v>
      </c>
      <c r="C95" s="169">
        <v>3000</v>
      </c>
      <c r="D95" s="166"/>
      <c r="E95" s="166"/>
      <c r="F95" s="166"/>
      <c r="G95" s="178" t="s">
        <v>317</v>
      </c>
    </row>
    <row r="96" spans="1:7" ht="30.75" customHeight="1" hidden="1">
      <c r="A96" s="164"/>
      <c r="B96" s="124"/>
      <c r="C96" s="169"/>
      <c r="D96" s="166"/>
      <c r="E96" s="166"/>
      <c r="F96" s="166"/>
      <c r="G96" s="178"/>
    </row>
    <row r="97" spans="1:7" ht="45.75" customHeight="1">
      <c r="A97" s="164" t="s">
        <v>575</v>
      </c>
      <c r="B97" s="124" t="s">
        <v>576</v>
      </c>
      <c r="C97" s="169">
        <v>260000</v>
      </c>
      <c r="D97" s="166"/>
      <c r="E97" s="166"/>
      <c r="F97" s="166"/>
      <c r="G97" s="178" t="s">
        <v>319</v>
      </c>
    </row>
    <row r="98" spans="1:7" ht="69.75" customHeight="1">
      <c r="A98" s="164" t="s">
        <v>257</v>
      </c>
      <c r="B98" s="124" t="s">
        <v>318</v>
      </c>
      <c r="C98" s="169">
        <v>10000</v>
      </c>
      <c r="D98" s="166"/>
      <c r="E98" s="166"/>
      <c r="F98" s="166"/>
      <c r="G98" s="178" t="s">
        <v>677</v>
      </c>
    </row>
    <row r="99" spans="1:7" ht="51.75" customHeight="1">
      <c r="A99" s="164" t="s">
        <v>262</v>
      </c>
      <c r="B99" s="124" t="s">
        <v>320</v>
      </c>
      <c r="C99" s="169">
        <v>105000</v>
      </c>
      <c r="D99" s="166"/>
      <c r="E99" s="166"/>
      <c r="F99" s="166"/>
      <c r="G99" s="178" t="s">
        <v>677</v>
      </c>
    </row>
    <row r="100" spans="1:7" ht="53.25" customHeight="1">
      <c r="A100" s="164" t="s">
        <v>266</v>
      </c>
      <c r="B100" s="124" t="s">
        <v>321</v>
      </c>
      <c r="C100" s="169">
        <v>10000</v>
      </c>
      <c r="D100" s="166"/>
      <c r="E100" s="166"/>
      <c r="F100" s="166"/>
      <c r="G100" s="178" t="s">
        <v>13</v>
      </c>
    </row>
    <row r="101" spans="1:7" ht="51.75" customHeight="1">
      <c r="A101" s="164" t="s">
        <v>268</v>
      </c>
      <c r="B101" s="124" t="s">
        <v>269</v>
      </c>
      <c r="C101" s="169">
        <v>5000</v>
      </c>
      <c r="D101" s="166"/>
      <c r="E101" s="166"/>
      <c r="F101" s="166"/>
      <c r="G101" s="178" t="s">
        <v>738</v>
      </c>
    </row>
    <row r="102" spans="1:7" ht="42" customHeight="1" hidden="1">
      <c r="A102" s="164"/>
      <c r="B102" s="124"/>
      <c r="C102" s="169"/>
      <c r="D102" s="166"/>
      <c r="E102" s="166"/>
      <c r="F102" s="166"/>
      <c r="G102" s="178"/>
    </row>
    <row r="103" spans="1:7" ht="63.75">
      <c r="A103" s="164" t="s">
        <v>274</v>
      </c>
      <c r="B103" s="124" t="s">
        <v>322</v>
      </c>
      <c r="C103" s="169">
        <v>5000</v>
      </c>
      <c r="D103" s="166"/>
      <c r="E103" s="166"/>
      <c r="F103" s="166"/>
      <c r="G103" s="178" t="s">
        <v>323</v>
      </c>
    </row>
    <row r="104" spans="1:7" ht="96" customHeight="1">
      <c r="A104" s="164" t="s">
        <v>280</v>
      </c>
      <c r="B104" s="124" t="s">
        <v>324</v>
      </c>
      <c r="C104" s="169">
        <v>735000</v>
      </c>
      <c r="D104" s="166"/>
      <c r="E104" s="166"/>
      <c r="F104" s="166"/>
      <c r="G104" s="178" t="s">
        <v>759</v>
      </c>
    </row>
    <row r="105" spans="1:7" ht="34.5" customHeight="1" hidden="1">
      <c r="A105" s="164"/>
      <c r="B105" s="124"/>
      <c r="C105" s="169"/>
      <c r="D105" s="166"/>
      <c r="E105" s="166"/>
      <c r="F105" s="166"/>
      <c r="G105" s="178"/>
    </row>
    <row r="106" spans="1:7" ht="63">
      <c r="A106" s="164" t="s">
        <v>284</v>
      </c>
      <c r="B106" s="124" t="s">
        <v>285</v>
      </c>
      <c r="C106" s="169">
        <v>20000</v>
      </c>
      <c r="D106" s="166"/>
      <c r="E106" s="166"/>
      <c r="F106" s="166"/>
      <c r="G106" s="178" t="s">
        <v>761</v>
      </c>
    </row>
    <row r="107" spans="1:7" ht="30.75" customHeight="1" hidden="1">
      <c r="A107" s="164"/>
      <c r="B107" s="124"/>
      <c r="C107" s="169"/>
      <c r="D107" s="166"/>
      <c r="E107" s="166"/>
      <c r="F107" s="166"/>
      <c r="G107" s="178"/>
    </row>
    <row r="108" spans="1:7" ht="63">
      <c r="A108" s="164" t="s">
        <v>288</v>
      </c>
      <c r="B108" s="124" t="s">
        <v>289</v>
      </c>
      <c r="C108" s="169">
        <v>7000</v>
      </c>
      <c r="D108" s="166"/>
      <c r="E108" s="166"/>
      <c r="F108" s="166"/>
      <c r="G108" s="178" t="s">
        <v>760</v>
      </c>
    </row>
    <row r="109" spans="1:7" ht="43.5" customHeight="1" hidden="1">
      <c r="A109" s="164"/>
      <c r="B109" s="124"/>
      <c r="C109" s="169"/>
      <c r="D109" s="166"/>
      <c r="E109" s="166"/>
      <c r="F109" s="166"/>
      <c r="G109" s="178"/>
    </row>
    <row r="110" spans="1:7" ht="94.5">
      <c r="A110" s="164" t="s">
        <v>294</v>
      </c>
      <c r="B110" s="124" t="s">
        <v>295</v>
      </c>
      <c r="C110" s="169">
        <v>265000</v>
      </c>
      <c r="D110" s="166"/>
      <c r="E110" s="166"/>
      <c r="F110" s="166"/>
      <c r="G110" s="178" t="s">
        <v>739</v>
      </c>
    </row>
    <row r="111" spans="1:7" ht="49.5" customHeight="1">
      <c r="A111" s="164" t="s">
        <v>762</v>
      </c>
      <c r="B111" s="124" t="s">
        <v>763</v>
      </c>
      <c r="C111" s="169">
        <v>10000</v>
      </c>
      <c r="D111" s="166"/>
      <c r="E111" s="166"/>
      <c r="F111" s="166"/>
      <c r="G111" s="178" t="s">
        <v>764</v>
      </c>
    </row>
    <row r="112" spans="1:7" ht="45" customHeight="1">
      <c r="A112" s="164" t="s">
        <v>296</v>
      </c>
      <c r="B112" s="124" t="s">
        <v>18</v>
      </c>
      <c r="C112" s="169">
        <v>11000</v>
      </c>
      <c r="D112" s="166"/>
      <c r="E112" s="166"/>
      <c r="F112" s="166"/>
      <c r="G112" s="178" t="s">
        <v>678</v>
      </c>
    </row>
    <row r="113" spans="1:7" ht="29.25" customHeight="1" hidden="1">
      <c r="A113" s="164"/>
      <c r="B113" s="124"/>
      <c r="C113" s="169"/>
      <c r="D113" s="166"/>
      <c r="E113" s="166"/>
      <c r="F113" s="166"/>
      <c r="G113" s="178"/>
    </row>
    <row r="114" spans="1:7" ht="25.5">
      <c r="A114" s="164" t="s">
        <v>308</v>
      </c>
      <c r="B114" s="124" t="s">
        <v>309</v>
      </c>
      <c r="C114" s="169">
        <v>2000</v>
      </c>
      <c r="D114" s="166"/>
      <c r="E114" s="166"/>
      <c r="F114" s="166"/>
      <c r="G114" s="178" t="s">
        <v>732</v>
      </c>
    </row>
    <row r="115" spans="1:7" ht="43.5" customHeight="1" hidden="1">
      <c r="A115" s="164"/>
      <c r="B115" s="124"/>
      <c r="C115" s="169"/>
      <c r="D115" s="166"/>
      <c r="E115" s="166"/>
      <c r="F115" s="166"/>
      <c r="G115" s="178"/>
    </row>
    <row r="116" spans="1:7" ht="38.25">
      <c r="A116" s="164" t="s">
        <v>592</v>
      </c>
      <c r="B116" s="124" t="s">
        <v>593</v>
      </c>
      <c r="C116" s="169">
        <v>17000</v>
      </c>
      <c r="D116" s="166"/>
      <c r="E116" s="166"/>
      <c r="F116" s="166"/>
      <c r="G116" s="178" t="s">
        <v>335</v>
      </c>
    </row>
    <row r="117" spans="1:7" ht="43.5" customHeight="1" hidden="1">
      <c r="A117" s="164" t="s">
        <v>428</v>
      </c>
      <c r="B117" s="124" t="s">
        <v>593</v>
      </c>
      <c r="C117" s="169"/>
      <c r="D117" s="166"/>
      <c r="E117" s="166"/>
      <c r="F117" s="166"/>
      <c r="G117" s="178" t="s">
        <v>604</v>
      </c>
    </row>
    <row r="118" spans="1:7" ht="45" customHeight="1">
      <c r="A118" s="164" t="s">
        <v>328</v>
      </c>
      <c r="B118" s="124" t="s">
        <v>0</v>
      </c>
      <c r="C118" s="169">
        <v>5000</v>
      </c>
      <c r="D118" s="166"/>
      <c r="E118" s="166"/>
      <c r="F118" s="166"/>
      <c r="G118" s="178" t="s">
        <v>349</v>
      </c>
    </row>
    <row r="119" spans="1:7" ht="36" customHeight="1" hidden="1">
      <c r="A119" s="164"/>
      <c r="B119" s="124"/>
      <c r="C119" s="169"/>
      <c r="D119" s="166"/>
      <c r="E119" s="166"/>
      <c r="F119" s="166"/>
      <c r="G119" s="178"/>
    </row>
    <row r="120" spans="1:7" ht="32.25" customHeight="1">
      <c r="A120" s="164" t="s">
        <v>777</v>
      </c>
      <c r="B120" s="124" t="s">
        <v>679</v>
      </c>
      <c r="C120" s="169">
        <v>2000</v>
      </c>
      <c r="D120" s="166"/>
      <c r="E120" s="166"/>
      <c r="F120" s="166"/>
      <c r="G120" s="178" t="s">
        <v>350</v>
      </c>
    </row>
    <row r="121" spans="1:7" ht="34.5" customHeight="1" hidden="1">
      <c r="A121" s="164"/>
      <c r="B121" s="124"/>
      <c r="C121" s="169"/>
      <c r="D121" s="166"/>
      <c r="E121" s="166"/>
      <c r="F121" s="166"/>
      <c r="G121" s="178"/>
    </row>
    <row r="122" spans="1:7" ht="25.5" customHeight="1" hidden="1">
      <c r="A122" s="164"/>
      <c r="B122" s="124"/>
      <c r="C122" s="169"/>
      <c r="D122" s="166"/>
      <c r="E122" s="166"/>
      <c r="F122" s="166"/>
      <c r="G122" s="178" t="s">
        <v>1</v>
      </c>
    </row>
    <row r="123" spans="1:7" ht="51">
      <c r="A123" s="164" t="s">
        <v>332</v>
      </c>
      <c r="B123" s="124" t="s">
        <v>2</v>
      </c>
      <c r="C123" s="169">
        <v>160000</v>
      </c>
      <c r="D123" s="166"/>
      <c r="E123" s="166"/>
      <c r="F123" s="166"/>
      <c r="G123" s="178" t="s">
        <v>349</v>
      </c>
    </row>
    <row r="124" spans="1:7" ht="58.5" customHeight="1" hidden="1">
      <c r="A124" s="164"/>
      <c r="B124" s="124"/>
      <c r="C124" s="169"/>
      <c r="D124" s="166"/>
      <c r="E124" s="166"/>
      <c r="F124" s="166"/>
      <c r="G124" s="178"/>
    </row>
    <row r="125" spans="1:7" ht="76.5" hidden="1">
      <c r="A125" s="164" t="s">
        <v>334</v>
      </c>
      <c r="B125" s="124" t="s">
        <v>3</v>
      </c>
      <c r="C125" s="169"/>
      <c r="D125" s="166"/>
      <c r="E125" s="166"/>
      <c r="F125" s="166"/>
      <c r="G125" s="178"/>
    </row>
    <row r="126" spans="1:7" ht="75" customHeight="1" hidden="1">
      <c r="A126" s="164"/>
      <c r="B126" s="124"/>
      <c r="C126" s="169"/>
      <c r="D126" s="166"/>
      <c r="E126" s="166"/>
      <c r="F126" s="166"/>
      <c r="G126" s="178"/>
    </row>
    <row r="127" spans="1:7" ht="47.25">
      <c r="A127" s="164" t="s">
        <v>610</v>
      </c>
      <c r="B127" s="124" t="s">
        <v>4</v>
      </c>
      <c r="C127" s="169">
        <v>5000</v>
      </c>
      <c r="D127" s="166"/>
      <c r="E127" s="166"/>
      <c r="F127" s="166"/>
      <c r="G127" s="178" t="s">
        <v>680</v>
      </c>
    </row>
    <row r="128" spans="1:7" ht="29.25" customHeight="1" hidden="1">
      <c r="A128" s="164"/>
      <c r="B128" s="124"/>
      <c r="C128" s="169"/>
      <c r="D128" s="166"/>
      <c r="E128" s="166"/>
      <c r="F128" s="166"/>
      <c r="G128" s="178"/>
    </row>
    <row r="129" spans="1:7" ht="110.25">
      <c r="A129" s="164" t="s">
        <v>612</v>
      </c>
      <c r="B129" s="124" t="s">
        <v>5</v>
      </c>
      <c r="C129" s="169">
        <v>171000</v>
      </c>
      <c r="D129" s="166"/>
      <c r="E129" s="166"/>
      <c r="F129" s="166"/>
      <c r="G129" s="178" t="s">
        <v>740</v>
      </c>
    </row>
    <row r="130" spans="1:7" ht="65.25" customHeight="1" hidden="1">
      <c r="A130" s="164"/>
      <c r="B130" s="124"/>
      <c r="C130" s="169"/>
      <c r="D130" s="166"/>
      <c r="E130" s="166"/>
      <c r="F130" s="166"/>
      <c r="G130" s="178"/>
    </row>
    <row r="131" spans="1:7" ht="38.25" hidden="1">
      <c r="A131" s="164" t="s">
        <v>429</v>
      </c>
      <c r="B131" s="124" t="s">
        <v>616</v>
      </c>
      <c r="C131" s="169">
        <v>0</v>
      </c>
      <c r="D131" s="166"/>
      <c r="E131" s="166"/>
      <c r="F131" s="166"/>
      <c r="G131" s="178"/>
    </row>
    <row r="132" spans="1:7" ht="35.25" customHeight="1">
      <c r="A132" s="164" t="s">
        <v>617</v>
      </c>
      <c r="B132" s="124" t="s">
        <v>6</v>
      </c>
      <c r="C132" s="169">
        <v>6000</v>
      </c>
      <c r="D132" s="166"/>
      <c r="E132" s="166"/>
      <c r="F132" s="166"/>
      <c r="G132" s="178" t="s">
        <v>733</v>
      </c>
    </row>
    <row r="133" spans="1:7" ht="42" customHeight="1" hidden="1">
      <c r="A133" s="164"/>
      <c r="B133" s="124"/>
      <c r="C133" s="169"/>
      <c r="D133" s="166"/>
      <c r="E133" s="166"/>
      <c r="F133" s="166"/>
      <c r="G133" s="178"/>
    </row>
    <row r="134" spans="1:7" ht="38.25">
      <c r="A134" s="164" t="s">
        <v>8</v>
      </c>
      <c r="B134" s="124" t="s">
        <v>9</v>
      </c>
      <c r="C134" s="169">
        <v>2000</v>
      </c>
      <c r="D134" s="166"/>
      <c r="E134" s="166"/>
      <c r="F134" s="166"/>
      <c r="G134" s="178" t="s">
        <v>681</v>
      </c>
    </row>
    <row r="135" spans="1:7" ht="219.75" customHeight="1">
      <c r="A135" s="167" t="s">
        <v>662</v>
      </c>
      <c r="B135" s="124" t="s">
        <v>663</v>
      </c>
      <c r="C135" s="193">
        <v>432000</v>
      </c>
      <c r="D135" s="166"/>
      <c r="E135" s="166"/>
      <c r="F135" s="166"/>
      <c r="G135" s="178" t="s">
        <v>734</v>
      </c>
    </row>
    <row r="136" spans="1:7" ht="30" customHeight="1" hidden="1">
      <c r="A136" s="164" t="s">
        <v>403</v>
      </c>
      <c r="B136" s="124" t="s">
        <v>26</v>
      </c>
      <c r="C136" s="171"/>
      <c r="D136" s="166"/>
      <c r="E136" s="166"/>
      <c r="F136" s="166"/>
      <c r="G136" s="178" t="s">
        <v>336</v>
      </c>
    </row>
    <row r="137" ht="120" customHeight="1"/>
  </sheetData>
  <sheetProtection/>
  <mergeCells count="1">
    <mergeCell ref="A1:G1"/>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7"/>
  <sheetViews>
    <sheetView zoomScalePageLayoutView="0" workbookViewId="0" topLeftCell="A1">
      <selection activeCell="B41" sqref="B41"/>
    </sheetView>
  </sheetViews>
  <sheetFormatPr defaultColWidth="9.00390625" defaultRowHeight="12.75"/>
  <cols>
    <col min="1" max="1" width="72.00390625" style="104" customWidth="1"/>
    <col min="2" max="2" width="39.75390625" style="104" customWidth="1"/>
    <col min="3" max="16384" width="9.125" style="104" customWidth="1"/>
  </cols>
  <sheetData>
    <row r="1" spans="1:2" ht="24" customHeight="1">
      <c r="A1" s="249" t="s">
        <v>352</v>
      </c>
      <c r="B1" s="249"/>
    </row>
    <row r="2" spans="1:2" ht="12.75">
      <c r="A2" s="172"/>
      <c r="B2" s="108"/>
    </row>
    <row r="3" spans="1:2" ht="12.75">
      <c r="A3" s="173" t="s">
        <v>353</v>
      </c>
      <c r="B3" s="174">
        <v>2017</v>
      </c>
    </row>
    <row r="4" spans="1:2" ht="12.75">
      <c r="A4" s="173" t="s">
        <v>354</v>
      </c>
      <c r="B4" s="174" t="s">
        <v>689</v>
      </c>
    </row>
    <row r="5" spans="1:2" ht="12.75">
      <c r="A5" s="173" t="s">
        <v>355</v>
      </c>
      <c r="B5" s="174" t="s">
        <v>356</v>
      </c>
    </row>
    <row r="6" spans="1:2" ht="12.75">
      <c r="A6" s="173" t="s">
        <v>357</v>
      </c>
      <c r="B6" s="174" t="s">
        <v>358</v>
      </c>
    </row>
    <row r="7" spans="1:2" ht="12.75">
      <c r="A7" s="173" t="s">
        <v>359</v>
      </c>
      <c r="B7" s="174" t="s">
        <v>360</v>
      </c>
    </row>
    <row r="8" spans="1:2" ht="12.75">
      <c r="A8" s="173" t="s">
        <v>634</v>
      </c>
      <c r="B8" s="174" t="s">
        <v>694</v>
      </c>
    </row>
    <row r="9" spans="1:2" ht="12.75">
      <c r="A9" s="175" t="s">
        <v>361</v>
      </c>
      <c r="B9" s="195">
        <v>42711</v>
      </c>
    </row>
    <row r="10" spans="1:2" ht="12.75">
      <c r="A10" s="175"/>
      <c r="B10" s="108"/>
    </row>
    <row r="11" spans="1:2" ht="15.75" customHeight="1">
      <c r="A11" s="173" t="s">
        <v>362</v>
      </c>
      <c r="B11" s="176" t="s">
        <v>363</v>
      </c>
    </row>
    <row r="12" spans="1:2" ht="15.75" customHeight="1">
      <c r="A12" s="173" t="s">
        <v>364</v>
      </c>
      <c r="B12" s="176" t="s">
        <v>365</v>
      </c>
    </row>
    <row r="13" spans="1:2" ht="12.75" customHeight="1">
      <c r="A13" s="173" t="s">
        <v>366</v>
      </c>
      <c r="B13" s="177" t="s">
        <v>690</v>
      </c>
    </row>
    <row r="14" spans="1:2" ht="12.75">
      <c r="A14" s="173" t="s">
        <v>367</v>
      </c>
      <c r="B14" s="174" t="s">
        <v>368</v>
      </c>
    </row>
    <row r="15" spans="1:2" ht="17.25" customHeight="1">
      <c r="A15" s="173" t="s">
        <v>369</v>
      </c>
      <c r="B15" s="177" t="s">
        <v>691</v>
      </c>
    </row>
    <row r="16" spans="1:2" ht="12" customHeight="1">
      <c r="A16" s="173" t="s">
        <v>370</v>
      </c>
      <c r="B16" s="177" t="s">
        <v>693</v>
      </c>
    </row>
    <row r="17" spans="1:2" ht="13.5" customHeight="1">
      <c r="A17" s="173" t="s">
        <v>371</v>
      </c>
      <c r="B17" s="177" t="s">
        <v>692</v>
      </c>
    </row>
  </sheetData>
  <sheetProtection/>
  <mergeCells count="1">
    <mergeCell ref="A1:B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argiro</dc:creator>
  <cp:keywords/>
  <dc:description/>
  <cp:lastModifiedBy>MARIA</cp:lastModifiedBy>
  <cp:lastPrinted>2016-12-12T06:56:31Z</cp:lastPrinted>
  <dcterms:created xsi:type="dcterms:W3CDTF">2004-09-21T06:11:38Z</dcterms:created>
  <dcterms:modified xsi:type="dcterms:W3CDTF">2017-01-18T13:33:06Z</dcterms:modified>
  <cp:category/>
  <cp:version/>
  <cp:contentType/>
  <cp:contentStatus/>
</cp:coreProperties>
</file>